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joseignacioicod\Desktop\"/>
    </mc:Choice>
  </mc:AlternateContent>
  <xr:revisionPtr revIDLastSave="0" documentId="13_ncr:1_{D2131599-6882-4347-98EC-3A8A9392D6D6}" xr6:coauthVersionLast="47" xr6:coauthVersionMax="47" xr10:uidLastSave="{00000000-0000-0000-0000-000000000000}"/>
  <bookViews>
    <workbookView xWindow="-120" yWindow="-120" windowWidth="29040" windowHeight="15720" tabRatio="726" xr2:uid="{00000000-000D-0000-FFFF-FFFF00000000}"/>
  </bookViews>
  <sheets>
    <sheet name="19_20 Tienda 24h&amp;365" sheetId="4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9" i="48" l="1"/>
  <c r="V55" i="48" l="1"/>
  <c r="W54" i="48"/>
  <c r="X54" i="48"/>
  <c r="V54" i="48"/>
  <c r="X47" i="48"/>
  <c r="X48" i="48" s="1"/>
  <c r="X50" i="48" s="1"/>
  <c r="X52" i="48"/>
  <c r="X53" i="48" s="1"/>
  <c r="X55" i="48" s="1"/>
  <c r="X23" i="48"/>
  <c r="U41" i="48" s="1"/>
  <c r="U38" i="48"/>
  <c r="U37" i="48"/>
  <c r="W38" i="48"/>
  <c r="X37" i="48"/>
  <c r="V38" i="48"/>
  <c r="W37" i="48"/>
  <c r="X36" i="48"/>
  <c r="V37" i="48"/>
  <c r="U33" i="48"/>
  <c r="W33" i="48"/>
  <c r="X33" i="48"/>
  <c r="V33" i="48"/>
  <c r="X35" i="48"/>
  <c r="X40" i="48" s="1"/>
  <c r="X41" i="48" s="1"/>
  <c r="U34" i="48"/>
  <c r="W35" i="48" s="1"/>
  <c r="W40" i="48" s="1"/>
  <c r="W34" i="48"/>
  <c r="X34" i="48"/>
  <c r="V34" i="48"/>
  <c r="X49" i="48" l="1"/>
  <c r="W41" i="48"/>
  <c r="V35" i="48"/>
  <c r="W31" i="48"/>
  <c r="X31" i="48"/>
  <c r="V31" i="48"/>
  <c r="V27" i="48"/>
  <c r="W27" i="48"/>
  <c r="U27" i="48"/>
  <c r="V25" i="48"/>
  <c r="W25" i="48"/>
  <c r="U25" i="48"/>
  <c r="X25" i="48" s="1"/>
  <c r="U42" i="48" s="1"/>
  <c r="X20" i="48"/>
  <c r="V20" i="48"/>
  <c r="W20" i="48"/>
  <c r="U20" i="48"/>
  <c r="V19" i="48"/>
  <c r="W19" i="48"/>
  <c r="U19" i="48"/>
  <c r="X18" i="48"/>
  <c r="V18" i="48"/>
  <c r="W18" i="48"/>
  <c r="U18" i="48"/>
  <c r="X16" i="48"/>
  <c r="W16" i="48"/>
  <c r="V16" i="48"/>
  <c r="U16" i="48"/>
  <c r="V15" i="48"/>
  <c r="W15" i="48"/>
  <c r="U15" i="48"/>
  <c r="V14" i="48"/>
  <c r="W14" i="48"/>
  <c r="U14" i="48"/>
  <c r="X14" i="48" s="1"/>
  <c r="V13" i="48"/>
  <c r="W13" i="48"/>
  <c r="U13" i="48"/>
  <c r="X12" i="48"/>
  <c r="V11" i="48"/>
  <c r="V12" i="48" s="1"/>
  <c r="W11" i="48"/>
  <c r="W12" i="48"/>
  <c r="U12" i="48"/>
  <c r="U11" i="48"/>
  <c r="W10" i="48"/>
  <c r="W8" i="48"/>
  <c r="W7" i="48"/>
  <c r="W6" i="48"/>
  <c r="W4" i="48"/>
  <c r="I53" i="48"/>
  <c r="I52" i="48"/>
  <c r="J51" i="48"/>
  <c r="I51" i="48"/>
  <c r="H51" i="48"/>
  <c r="G51" i="48"/>
  <c r="F51" i="48"/>
  <c r="C47" i="48"/>
  <c r="C53" i="48" s="1"/>
  <c r="B47" i="48"/>
  <c r="B53" i="48" s="1"/>
  <c r="C46" i="48"/>
  <c r="B46" i="48"/>
  <c r="B52" i="48" s="1"/>
  <c r="C42" i="48"/>
  <c r="L17" i="48" s="1"/>
  <c r="G41" i="48"/>
  <c r="G42" i="48" s="1"/>
  <c r="F41" i="48"/>
  <c r="G40" i="48"/>
  <c r="F40" i="48"/>
  <c r="G39" i="48"/>
  <c r="F39" i="48"/>
  <c r="W23" i="48"/>
  <c r="V22" i="48"/>
  <c r="W24" i="48"/>
  <c r="V23" i="48"/>
  <c r="W22" i="48"/>
  <c r="V24" i="48"/>
  <c r="U23" i="48"/>
  <c r="U22" i="48"/>
  <c r="U24" i="48"/>
  <c r="J19" i="48"/>
  <c r="F27" i="48" s="1"/>
  <c r="J18" i="48"/>
  <c r="D52" i="48" s="1"/>
  <c r="T16" i="48"/>
  <c r="T14" i="48"/>
  <c r="V8" i="48"/>
  <c r="V10" i="48"/>
  <c r="V7" i="48"/>
  <c r="V4" i="48"/>
  <c r="V6" i="48"/>
  <c r="U8" i="48"/>
  <c r="U10" i="48"/>
  <c r="U7" i="48"/>
  <c r="U4" i="48"/>
  <c r="U6" i="48"/>
  <c r="U35" i="48" l="1"/>
  <c r="V40" i="48"/>
  <c r="V41" i="48" s="1"/>
  <c r="V47" i="48" s="1"/>
  <c r="W42" i="48"/>
  <c r="W52" i="48" s="1"/>
  <c r="W53" i="48" s="1"/>
  <c r="W55" i="48" s="1"/>
  <c r="V42" i="48"/>
  <c r="V52" i="48" s="1"/>
  <c r="W47" i="48"/>
  <c r="W48" i="48" s="1"/>
  <c r="W50" i="48" s="1"/>
  <c r="C48" i="48"/>
  <c r="F42" i="48"/>
  <c r="L18" i="48" s="1"/>
  <c r="R18" i="48" s="1"/>
  <c r="G48" i="48"/>
  <c r="F28" i="48"/>
  <c r="F29" i="48" s="1"/>
  <c r="D47" i="48"/>
  <c r="J24" i="48"/>
  <c r="C52" i="48"/>
  <c r="C54" i="48" s="1"/>
  <c r="D27" i="48"/>
  <c r="D46" i="48"/>
  <c r="D53" i="48"/>
  <c r="D54" i="48" s="1"/>
  <c r="Y52" i="48" l="1"/>
  <c r="V53" i="48"/>
  <c r="Y47" i="48"/>
  <c r="V48" i="48"/>
  <c r="L29" i="48"/>
  <c r="R29" i="48" s="1"/>
  <c r="D48" i="48"/>
  <c r="F30" i="48"/>
  <c r="F53" i="48" s="1"/>
  <c r="F47" i="48"/>
  <c r="J26" i="48"/>
  <c r="D28" i="48"/>
  <c r="J27" i="48" s="1"/>
  <c r="J25" i="48"/>
  <c r="J39" i="48"/>
  <c r="R5" i="48"/>
  <c r="V49" i="48" l="1"/>
  <c r="V50" i="48" s="1"/>
  <c r="G46" i="48"/>
  <c r="G47" i="48"/>
  <c r="H47" i="48" s="1"/>
  <c r="J47" i="48" s="1"/>
  <c r="L4" i="48"/>
  <c r="R12" i="48" s="1"/>
  <c r="R24" i="48" s="1"/>
  <c r="J41" i="48"/>
  <c r="J40" i="48"/>
  <c r="L3" i="48"/>
  <c r="R13" i="48" s="1"/>
  <c r="R25" i="48" s="1"/>
  <c r="D29" i="48"/>
  <c r="L11" i="48"/>
  <c r="F46" i="48" l="1"/>
  <c r="D30" i="48"/>
  <c r="J28" i="48" s="1"/>
  <c r="J42" i="48" l="1"/>
  <c r="R6" i="48"/>
  <c r="J30" i="48"/>
  <c r="F52" i="48"/>
  <c r="F48" i="48"/>
  <c r="G49" i="48" s="1"/>
  <c r="H46" i="48"/>
  <c r="J46" i="48" s="1"/>
  <c r="F54" i="48" l="1"/>
  <c r="L12" i="48"/>
  <c r="L23" i="48" s="1"/>
  <c r="R26" i="48" s="1"/>
  <c r="L5" i="48"/>
  <c r="R14" i="48" s="1"/>
  <c r="G53" i="48" l="1"/>
  <c r="H53" i="48" s="1"/>
  <c r="J53" i="48" s="1"/>
  <c r="G52" i="48"/>
  <c r="G54" i="48" l="1"/>
  <c r="G55" i="48" s="1"/>
  <c r="H52" i="48"/>
  <c r="J52" i="48" s="1"/>
  <c r="X29" i="48"/>
</calcChain>
</file>

<file path=xl/sharedStrings.xml><?xml version="1.0" encoding="utf-8"?>
<sst xmlns="http://schemas.openxmlformats.org/spreadsheetml/2006/main" count="192" uniqueCount="143">
  <si>
    <t>Total</t>
  </si>
  <si>
    <t xml:space="preserve"> </t>
  </si>
  <si>
    <t>Cantidad</t>
  </si>
  <si>
    <t>Fecha</t>
  </si>
  <si>
    <t>Total Coste de Compras</t>
  </si>
  <si>
    <t>A</t>
  </si>
  <si>
    <t>Importe</t>
  </si>
  <si>
    <t>Nº Factura</t>
  </si>
  <si>
    <t>A/5455</t>
  </si>
  <si>
    <t>Serie de la Factura</t>
  </si>
  <si>
    <t>Nº de cliente</t>
  </si>
  <si>
    <t>Polígono Industral Molinos nave 45</t>
  </si>
  <si>
    <t>Pedido</t>
  </si>
  <si>
    <t>Vencimiento</t>
  </si>
  <si>
    <t>Santa Cruz de Tenerife 38071</t>
  </si>
  <si>
    <t>Forma de Pago</t>
  </si>
  <si>
    <t>30 días vista pagaré</t>
  </si>
  <si>
    <t>Telf: 922-23658 Fax: 45554</t>
  </si>
  <si>
    <t>CIF: B-365899965</t>
  </si>
  <si>
    <t>Cliente</t>
  </si>
  <si>
    <t>Código del cliente</t>
  </si>
  <si>
    <t xml:space="preserve">Direccion </t>
  </si>
  <si>
    <t>Calle San Juan, nº 34</t>
  </si>
  <si>
    <t>Poblacion</t>
  </si>
  <si>
    <t>CIF</t>
  </si>
  <si>
    <t>B-56987545</t>
  </si>
  <si>
    <t xml:space="preserve">Telf </t>
  </si>
  <si>
    <t>922-125445 Fax: 455445</t>
  </si>
  <si>
    <t>Ref.</t>
  </si>
  <si>
    <t>Descripción</t>
  </si>
  <si>
    <t>Tipo IVA</t>
  </si>
  <si>
    <t>Dto</t>
  </si>
  <si>
    <t>Precio Unidad</t>
  </si>
  <si>
    <t>Subtotal1</t>
  </si>
  <si>
    <t>Otros Descuentos</t>
  </si>
  <si>
    <t>Base Imponible</t>
  </si>
  <si>
    <t>Total Bruto</t>
  </si>
  <si>
    <t>Tipo IVA1</t>
  </si>
  <si>
    <t>Tipo IVA2</t>
  </si>
  <si>
    <t>Tipo IVA3</t>
  </si>
  <si>
    <t>Dto. Comercial</t>
  </si>
  <si>
    <t>Dto. Com.Volu</t>
  </si>
  <si>
    <t>Dto. Financiero</t>
  </si>
  <si>
    <t>Dto. Pron.Pago</t>
  </si>
  <si>
    <t>Igic Repercutido</t>
  </si>
  <si>
    <t>Base IVA/iGIC</t>
  </si>
  <si>
    <t>IVA/IGIC</t>
  </si>
  <si>
    <t>Total Factura</t>
  </si>
  <si>
    <t>Condiciones de pago</t>
  </si>
  <si>
    <t>Conforme el cliente</t>
  </si>
  <si>
    <t>30 dia vistas</t>
  </si>
  <si>
    <t>Nuestro Pagaré nº 34234</t>
  </si>
  <si>
    <t>Suplidos a cargo del comprador contrando la agencia el comprador</t>
  </si>
  <si>
    <t>Sello y firma</t>
  </si>
  <si>
    <t>Otros costes asociados a la compra (Datos Informativos) Suplidos de Factura</t>
  </si>
  <si>
    <t>Base</t>
  </si>
  <si>
    <t>IVA-IGIC</t>
  </si>
  <si>
    <t>RESUMEN</t>
  </si>
  <si>
    <t>Transportes</t>
  </si>
  <si>
    <t>Total Compras</t>
  </si>
  <si>
    <t>Aduana</t>
  </si>
  <si>
    <t>Seguro</t>
  </si>
  <si>
    <t>Suplidos</t>
  </si>
  <si>
    <t>Margen Comer.</t>
  </si>
  <si>
    <t>PVPunitario</t>
  </si>
  <si>
    <t>Contabilidad Mayorista de Diseño CASO 1 Y 2</t>
  </si>
  <si>
    <t xml:space="preserve"> -----------------------------------------------------------12-12-03-----------------------------------------------------------------</t>
  </si>
  <si>
    <t>(709)</t>
  </si>
  <si>
    <t>Dto. Sobre ventas</t>
  </si>
  <si>
    <t>(665)</t>
  </si>
  <si>
    <t>Dto. Pronto pago</t>
  </si>
  <si>
    <t>(430)</t>
  </si>
  <si>
    <t>Clientes</t>
  </si>
  <si>
    <t>(700)</t>
  </si>
  <si>
    <t>Ventas de Mercaderias</t>
  </si>
  <si>
    <t>(4777)</t>
  </si>
  <si>
    <t>(N/Factura nº A/5455)</t>
  </si>
  <si>
    <t xml:space="preserve"> --------------------------------------------------------------------------------------------------------------------------------------</t>
  </si>
  <si>
    <t xml:space="preserve">Contabilidad Moda Canaria SL CASO 1 </t>
  </si>
  <si>
    <t>(600)</t>
  </si>
  <si>
    <t>Compras Mercaderías</t>
  </si>
  <si>
    <t>(4727)</t>
  </si>
  <si>
    <t>Igic soportado</t>
  </si>
  <si>
    <t>(765)</t>
  </si>
  <si>
    <t>Dtos por pronto pago</t>
  </si>
  <si>
    <t>(609)</t>
  </si>
  <si>
    <t>Dto sobre compras</t>
  </si>
  <si>
    <t>(400)</t>
  </si>
  <si>
    <t>Proveedores</t>
  </si>
  <si>
    <t>(Por la factura del proveedor S/F nº A/5455)</t>
  </si>
  <si>
    <t>(572)</t>
  </si>
  <si>
    <t>Bancos C/C</t>
  </si>
  <si>
    <t>(Por Suplidos de la factura S/F nº A/5455, N/Ch:458)</t>
  </si>
  <si>
    <t>Contabilidad Moda Canaria SL CASO 2</t>
  </si>
  <si>
    <t>Hotel Star Canary</t>
  </si>
  <si>
    <t>Los Cristianos - Adeje - Tenerife CP:38650</t>
  </si>
  <si>
    <t>Souvenir</t>
  </si>
  <si>
    <t>Agua  y refrescos</t>
  </si>
  <si>
    <t>Distribuc. Canal Horeca Canarias</t>
  </si>
  <si>
    <t>12/2/20XX</t>
  </si>
  <si>
    <t>14/3/20XX</t>
  </si>
  <si>
    <t>IVA Soportado</t>
  </si>
  <si>
    <t>Todos estos gastos se han pagado al contado mediante cheque nº 458 de CAIXA</t>
  </si>
  <si>
    <t>Impor-Dtos</t>
  </si>
  <si>
    <t>Cost.Unita.</t>
  </si>
  <si>
    <t>Importe Fac</t>
  </si>
  <si>
    <t>Valor de entrada de la mercancia en Almacen Caso 1 Sometida al IVA-IGIC DECLARA EL IGIC</t>
  </si>
  <si>
    <t>Valor de entrada de la mercancia en Almacen Caso 2 No Sometida al IVA-IGIC NO DECLARA EL IGIC</t>
  </si>
  <si>
    <t>Pvp /ud</t>
  </si>
  <si>
    <t>3. Coste de Almacenamiento - disponibilidad</t>
  </si>
  <si>
    <t>(A) Cantid</t>
  </si>
  <si>
    <t xml:space="preserve">1. Coste de compra según factura </t>
  </si>
  <si>
    <t>2. Coste de adquisición (Suplidos)</t>
  </si>
  <si>
    <t>Concepto</t>
  </si>
  <si>
    <t>Descuentos</t>
  </si>
  <si>
    <t>Datos generales</t>
  </si>
  <si>
    <t>1.- Lineal</t>
  </si>
  <si>
    <t>2.- Comercial</t>
  </si>
  <si>
    <t>3.- Financiero</t>
  </si>
  <si>
    <t>IVA-IGIC de la operación</t>
  </si>
  <si>
    <t>Base impositva</t>
  </si>
  <si>
    <t>Tipo aplicable</t>
  </si>
  <si>
    <t>Coste Lineal</t>
  </si>
  <si>
    <t xml:space="preserve"> % Significac.</t>
  </si>
  <si>
    <t>Coste de entrrada de la mercancia en -inventario</t>
  </si>
  <si>
    <t>b. Iva Soportado</t>
  </si>
  <si>
    <t>a. Base Impon.</t>
  </si>
  <si>
    <t>Base de reparto</t>
  </si>
  <si>
    <t>c. Sumplidos</t>
  </si>
  <si>
    <t>1. Coste de Compra</t>
  </si>
  <si>
    <t>2. Coste de Adquisición y Reparto</t>
  </si>
  <si>
    <t>3. Coste de Almacenamiento - Disponibilidad</t>
  </si>
  <si>
    <t>e. Disponibilidad</t>
  </si>
  <si>
    <r>
      <t xml:space="preserve">Sometida al IVA/IGIC </t>
    </r>
    <r>
      <rPr>
        <b/>
        <sz val="8"/>
        <color rgb="FFFF0000"/>
        <rFont val="MS Sans Serif"/>
      </rPr>
      <t>(el impuesto no es coste)</t>
    </r>
  </si>
  <si>
    <r>
      <t xml:space="preserve">NO sometida al IVA/IGIC </t>
    </r>
    <r>
      <rPr>
        <b/>
        <sz val="8"/>
        <color rgb="FFFF0000"/>
        <rFont val="MS Sans Serif"/>
      </rPr>
      <t>(el impuesto es coste)</t>
    </r>
  </si>
  <si>
    <t>Coste Total (a+b+c+d+e+f)</t>
  </si>
  <si>
    <t>Solucion del caso formato resumen</t>
  </si>
  <si>
    <t>Coste Total (a+c+e)</t>
  </si>
  <si>
    <t>Margen sobre coste</t>
  </si>
  <si>
    <t>Pvp</t>
  </si>
  <si>
    <t>Factura SOLUCION Versio 2.0</t>
  </si>
  <si>
    <t>d. Iva soportado</t>
  </si>
  <si>
    <t>f. Iva soportado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</si>
</sst>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dd\-mm\-yy;@"/>
    <numFmt numFmtId="166" formatCode="#,##0.00\ &quot;€/ud&quot;"/>
    <numFmt numFmtId="169" formatCode="#,##0.00\ &quot;€&quot;"/>
    <numFmt numFmtId="170" formatCode="#,##0.0\ &quot;€&quot;"/>
    <numFmt numFmtId="171" formatCode="0.0%"/>
  </numFmts>
  <fonts count="26" x14ac:knownFonts="1">
    <font>
      <sz val="10"/>
      <name val="MS Sans Serif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i/>
      <sz val="8"/>
      <name val="Times New Roman"/>
      <family val="1"/>
    </font>
    <font>
      <sz val="10"/>
      <name val="Times New Roman"/>
      <family val="1"/>
    </font>
    <font>
      <i/>
      <u/>
      <sz val="10"/>
      <name val="Arial"/>
      <family val="2"/>
    </font>
    <font>
      <i/>
      <sz val="10"/>
      <name val="Times New Roman"/>
      <family val="1"/>
    </font>
    <font>
      <b/>
      <sz val="8"/>
      <name val="Book Antiqua"/>
      <family val="1"/>
    </font>
    <font>
      <u/>
      <sz val="8"/>
      <name val="Arial"/>
      <family val="2"/>
    </font>
    <font>
      <i/>
      <u/>
      <sz val="10"/>
      <name val="Times New Roman"/>
      <family val="1"/>
    </font>
    <font>
      <b/>
      <u/>
      <sz val="10"/>
      <name val="Times New Roman"/>
      <family val="1"/>
    </font>
    <font>
      <i/>
      <sz val="12"/>
      <name val="Times New Roman"/>
      <family val="1"/>
    </font>
    <font>
      <sz val="9"/>
      <name val="MS Sans Serif"/>
    </font>
    <font>
      <sz val="10"/>
      <name val="MS Sans Serif"/>
    </font>
    <font>
      <b/>
      <sz val="10"/>
      <color rgb="FFFF0000"/>
      <name val="MS Sans Serif"/>
    </font>
    <font>
      <b/>
      <sz val="8"/>
      <name val="Arial"/>
      <family val="2"/>
    </font>
    <font>
      <b/>
      <sz val="10"/>
      <name val="MS Sans Serif"/>
    </font>
    <font>
      <sz val="8"/>
      <name val="MS Sans Serif"/>
    </font>
    <font>
      <b/>
      <sz val="8"/>
      <name val="MS Sans Serif"/>
    </font>
    <font>
      <b/>
      <i/>
      <sz val="11"/>
      <color theme="0"/>
      <name val="Times New Roman"/>
      <family val="1"/>
    </font>
    <font>
      <sz val="10"/>
      <color theme="0"/>
      <name val="MS Sans Serif"/>
    </font>
    <font>
      <b/>
      <sz val="8"/>
      <color rgb="FFFF0000"/>
      <name val="MS Sans Serif"/>
    </font>
    <font>
      <b/>
      <sz val="9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3" xfId="0" applyFont="1" applyBorder="1"/>
    <xf numFmtId="0" fontId="1" fillId="0" borderId="0" xfId="0" applyFont="1" applyAlignment="1">
      <alignment horizontal="left"/>
    </xf>
    <xf numFmtId="0" fontId="0" fillId="0" borderId="2" xfId="0" applyBorder="1"/>
    <xf numFmtId="0" fontId="0" fillId="0" borderId="7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0" xfId="0" applyFont="1"/>
    <xf numFmtId="0" fontId="0" fillId="0" borderId="6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5" fillId="2" borderId="0" xfId="0" applyFont="1" applyFill="1"/>
    <xf numFmtId="165" fontId="1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10" fillId="0" borderId="8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10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1" fillId="0" borderId="8" xfId="0" applyNumberFormat="1" applyFont="1" applyBorder="1"/>
    <xf numFmtId="0" fontId="1" fillId="0" borderId="4" xfId="0" applyFont="1" applyBorder="1" applyAlignment="1">
      <alignment horizontal="left"/>
    </xf>
    <xf numFmtId="4" fontId="1" fillId="0" borderId="5" xfId="0" applyNumberFormat="1" applyFont="1" applyBorder="1"/>
    <xf numFmtId="3" fontId="0" fillId="0" borderId="0" xfId="0" applyNumberFormat="1"/>
    <xf numFmtId="4" fontId="1" fillId="0" borderId="0" xfId="0" applyNumberFormat="1" applyFont="1"/>
    <xf numFmtId="10" fontId="0" fillId="0" borderId="0" xfId="0" applyNumberFormat="1"/>
    <xf numFmtId="4" fontId="1" fillId="0" borderId="9" xfId="0" applyNumberFormat="1" applyFont="1" applyBorder="1"/>
    <xf numFmtId="0" fontId="0" fillId="0" borderId="0" xfId="0" applyAlignment="1">
      <alignment horizontal="right"/>
    </xf>
    <xf numFmtId="0" fontId="13" fillId="0" borderId="0" xfId="0" applyFont="1"/>
    <xf numFmtId="3" fontId="1" fillId="0" borderId="9" xfId="0" applyNumberFormat="1" applyFont="1" applyBorder="1"/>
    <xf numFmtId="0" fontId="4" fillId="0" borderId="0" xfId="0" applyFont="1" applyAlignment="1">
      <alignment horizontal="right"/>
    </xf>
    <xf numFmtId="4" fontId="0" fillId="0" borderId="0" xfId="0" applyNumberFormat="1"/>
    <xf numFmtId="4" fontId="7" fillId="0" borderId="0" xfId="0" applyNumberFormat="1" applyFont="1"/>
    <xf numFmtId="49" fontId="0" fillId="0" borderId="0" xfId="0" applyNumberFormat="1"/>
    <xf numFmtId="0" fontId="8" fillId="0" borderId="0" xfId="0" applyFont="1"/>
    <xf numFmtId="0" fontId="0" fillId="0" borderId="9" xfId="0" applyBorder="1"/>
    <xf numFmtId="166" fontId="15" fillId="0" borderId="0" xfId="0" applyNumberFormat="1" applyFont="1" applyAlignment="1">
      <alignment horizontal="right"/>
    </xf>
    <xf numFmtId="0" fontId="1" fillId="0" borderId="7" xfId="0" applyFont="1" applyBorder="1" applyAlignment="1">
      <alignment horizontal="center"/>
    </xf>
    <xf numFmtId="0" fontId="3" fillId="2" borderId="0" xfId="0" applyFont="1" applyFill="1"/>
    <xf numFmtId="4" fontId="1" fillId="0" borderId="0" xfId="0" applyNumberFormat="1" applyFont="1" applyAlignment="1">
      <alignment horizontal="right"/>
    </xf>
    <xf numFmtId="3" fontId="6" fillId="0" borderId="4" xfId="0" applyNumberFormat="1" applyFont="1" applyBorder="1"/>
    <xf numFmtId="3" fontId="9" fillId="0" borderId="4" xfId="0" applyNumberFormat="1" applyFont="1" applyBorder="1"/>
    <xf numFmtId="164" fontId="6" fillId="0" borderId="4" xfId="0" applyNumberFormat="1" applyFont="1" applyBorder="1"/>
    <xf numFmtId="4" fontId="1" fillId="0" borderId="4" xfId="0" applyNumberFormat="1" applyFont="1" applyBorder="1"/>
    <xf numFmtId="0" fontId="17" fillId="0" borderId="0" xfId="0" applyFont="1"/>
    <xf numFmtId="4" fontId="1" fillId="0" borderId="0" xfId="0" applyNumberFormat="1" applyFont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left"/>
    </xf>
    <xf numFmtId="4" fontId="18" fillId="0" borderId="0" xfId="0" applyNumberFormat="1" applyFont="1" applyAlignment="1">
      <alignment horizontal="center" vertical="center"/>
    </xf>
    <xf numFmtId="0" fontId="19" fillId="0" borderId="0" xfId="0" applyFont="1"/>
    <xf numFmtId="10" fontId="1" fillId="0" borderId="0" xfId="0" applyNumberFormat="1" applyFont="1" applyAlignment="1">
      <alignment horizontal="center" vertical="center"/>
    </xf>
    <xf numFmtId="0" fontId="15" fillId="0" borderId="0" xfId="0" applyFont="1"/>
    <xf numFmtId="170" fontId="0" fillId="0" borderId="0" xfId="0" applyNumberFormat="1"/>
    <xf numFmtId="0" fontId="3" fillId="0" borderId="0" xfId="0" applyFont="1" applyAlignment="1">
      <alignment horizontal="center"/>
    </xf>
    <xf numFmtId="0" fontId="20" fillId="0" borderId="0" xfId="0" applyFont="1"/>
    <xf numFmtId="3" fontId="20" fillId="0" borderId="0" xfId="0" applyNumberFormat="1" applyFont="1"/>
    <xf numFmtId="0" fontId="0" fillId="4" borderId="0" xfId="0" applyFill="1"/>
    <xf numFmtId="0" fontId="20" fillId="0" borderId="0" xfId="0" applyFont="1" applyAlignment="1">
      <alignment horizontal="center" vertical="center"/>
    </xf>
    <xf numFmtId="169" fontId="0" fillId="0" borderId="0" xfId="0" applyNumberFormat="1"/>
    <xf numFmtId="170" fontId="0" fillId="0" borderId="0" xfId="0" applyNumberFormat="1" applyAlignment="1">
      <alignment horizontal="center" vertical="center"/>
    </xf>
    <xf numFmtId="10" fontId="18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 vertical="center"/>
    </xf>
    <xf numFmtId="0" fontId="22" fillId="3" borderId="0" xfId="0" applyFont="1" applyFill="1"/>
    <xf numFmtId="0" fontId="23" fillId="3" borderId="0" xfId="0" applyFont="1" applyFill="1"/>
    <xf numFmtId="169" fontId="20" fillId="0" borderId="0" xfId="0" applyNumberFormat="1" applyFont="1"/>
    <xf numFmtId="169" fontId="20" fillId="0" borderId="0" xfId="0" applyNumberFormat="1" applyFont="1" applyAlignment="1">
      <alignment horizontal="center" vertical="center"/>
    </xf>
    <xf numFmtId="10" fontId="2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70" fontId="0" fillId="0" borderId="0" xfId="0" applyNumberFormat="1" applyAlignment="1">
      <alignment horizontal="right" vertical="center"/>
    </xf>
    <xf numFmtId="0" fontId="19" fillId="5" borderId="0" xfId="0" applyFont="1" applyFill="1"/>
    <xf numFmtId="171" fontId="0" fillId="0" borderId="0" xfId="1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10" fontId="20" fillId="0" borderId="0" xfId="0" applyNumberFormat="1" applyFont="1" applyAlignment="1">
      <alignment horizontal="center"/>
    </xf>
    <xf numFmtId="10" fontId="20" fillId="0" borderId="0" xfId="1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5" fillId="0" borderId="0" xfId="0" applyFont="1"/>
    <xf numFmtId="9" fontId="0" fillId="0" borderId="0" xfId="1" applyFont="1" applyAlignment="1">
      <alignment horizontal="right" vertical="center" wrapText="1"/>
    </xf>
    <xf numFmtId="9" fontId="19" fillId="4" borderId="0" xfId="1" applyFont="1" applyFill="1" applyAlignment="1">
      <alignment vertical="center" wrapText="1"/>
    </xf>
    <xf numFmtId="0" fontId="15" fillId="0" borderId="6" xfId="0" applyFont="1" applyBorder="1"/>
    <xf numFmtId="170" fontId="0" fillId="0" borderId="7" xfId="0" applyNumberFormat="1" applyBorder="1"/>
    <xf numFmtId="170" fontId="0" fillId="0" borderId="7" xfId="0" applyNumberForma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0" fontId="25" fillId="0" borderId="3" xfId="0" applyFont="1" applyBorder="1"/>
    <xf numFmtId="10" fontId="25" fillId="0" borderId="4" xfId="1" applyNumberFormat="1" applyFont="1" applyBorder="1" applyAlignment="1">
      <alignment horizontal="center" vertical="center"/>
    </xf>
    <xf numFmtId="10" fontId="21" fillId="0" borderId="4" xfId="1" applyNumberFormat="1" applyFont="1" applyBorder="1" applyAlignment="1">
      <alignment horizontal="center" vertical="center"/>
    </xf>
    <xf numFmtId="10" fontId="21" fillId="0" borderId="5" xfId="1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49" fontId="14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left"/>
    </xf>
    <xf numFmtId="3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85725</xdr:rowOff>
    </xdr:from>
    <xdr:to>
      <xdr:col>3</xdr:col>
      <xdr:colOff>638175</xdr:colOff>
      <xdr:row>9</xdr:row>
      <xdr:rowOff>28575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6FC1AFB-C554-49B8-9F42-FF336BC3D98C}"/>
            </a:ext>
          </a:extLst>
        </xdr:cNvPr>
        <xdr:cNvSpPr>
          <a:spLocks noChangeArrowheads="1"/>
        </xdr:cNvSpPr>
      </xdr:nvSpPr>
      <xdr:spPr bwMode="auto">
        <a:xfrm>
          <a:off x="95250" y="447675"/>
          <a:ext cx="2133600" cy="11906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1</xdr:row>
      <xdr:rowOff>152400</xdr:rowOff>
    </xdr:from>
    <xdr:to>
      <xdr:col>3</xdr:col>
      <xdr:colOff>66675</xdr:colOff>
      <xdr:row>3</xdr:row>
      <xdr:rowOff>19050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26464094-1F0E-4719-98D4-93C0C2B703D2}"/>
            </a:ext>
          </a:extLst>
        </xdr:cNvPr>
        <xdr:cNvSpPr txBox="1">
          <a:spLocks noChangeArrowheads="1"/>
        </xdr:cNvSpPr>
      </xdr:nvSpPr>
      <xdr:spPr bwMode="auto">
        <a:xfrm>
          <a:off x="323850" y="352425"/>
          <a:ext cx="133350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2004" rIns="27432" bIns="0" anchor="t" upright="1"/>
        <a:lstStyle/>
        <a:p>
          <a:pPr algn="ctr" rtl="0">
            <a:defRPr sz="1000"/>
          </a:pPr>
          <a:r>
            <a:rPr lang="es-ES" sz="1000" b="1" i="0" u="sng" strike="noStrike">
              <a:solidFill>
                <a:srgbClr val="000000"/>
              </a:solidFill>
              <a:latin typeface="Book Antiqua"/>
            </a:rPr>
            <a:t>Datos de la Empresa</a:t>
          </a:r>
        </a:p>
      </xdr:txBody>
    </xdr:sp>
    <xdr:clientData/>
  </xdr:twoCellAnchor>
  <xdr:twoCellAnchor>
    <xdr:from>
      <xdr:col>4</xdr:col>
      <xdr:colOff>66675</xdr:colOff>
      <xdr:row>2</xdr:row>
      <xdr:rowOff>47625</xdr:rowOff>
    </xdr:from>
    <xdr:to>
      <xdr:col>9</xdr:col>
      <xdr:colOff>609600</xdr:colOff>
      <xdr:row>8</xdr:row>
      <xdr:rowOff>152400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4C9D9B60-93A4-4E97-8A0D-71EF82E21F1E}"/>
            </a:ext>
          </a:extLst>
        </xdr:cNvPr>
        <xdr:cNvSpPr>
          <a:spLocks noChangeArrowheads="1"/>
        </xdr:cNvSpPr>
      </xdr:nvSpPr>
      <xdr:spPr bwMode="auto">
        <a:xfrm>
          <a:off x="2381250" y="409575"/>
          <a:ext cx="3162300" cy="11430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200025</xdr:colOff>
      <xdr:row>1</xdr:row>
      <xdr:rowOff>133350</xdr:rowOff>
    </xdr:from>
    <xdr:to>
      <xdr:col>7</xdr:col>
      <xdr:colOff>200025</xdr:colOff>
      <xdr:row>3</xdr:row>
      <xdr:rowOff>0</xdr:rowOff>
    </xdr:to>
    <xdr:sp macro="" textlink="">
      <xdr:nvSpPr>
        <xdr:cNvPr id="5" name="Text 3">
          <a:extLst>
            <a:ext uri="{FF2B5EF4-FFF2-40B4-BE49-F238E27FC236}">
              <a16:creationId xmlns:a16="http://schemas.microsoft.com/office/drawing/2014/main" id="{FC62AD7F-71E3-4712-B7AC-E6048C3DB079}"/>
            </a:ext>
          </a:extLst>
        </xdr:cNvPr>
        <xdr:cNvSpPr txBox="1">
          <a:spLocks noChangeArrowheads="1"/>
        </xdr:cNvSpPr>
      </xdr:nvSpPr>
      <xdr:spPr bwMode="auto">
        <a:xfrm>
          <a:off x="2657475" y="333375"/>
          <a:ext cx="1238250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2004" rIns="27432" bIns="0" anchor="t" upright="1"/>
        <a:lstStyle/>
        <a:p>
          <a:pPr algn="ctr" rtl="0">
            <a:defRPr sz="1000"/>
          </a:pPr>
          <a:r>
            <a:rPr lang="es-ES" sz="1000" b="1" i="0" u="sng" strike="noStrike">
              <a:solidFill>
                <a:srgbClr val="000000"/>
              </a:solidFill>
              <a:latin typeface="Book Antiqua"/>
            </a:rPr>
            <a:t>Datos de la Factura</a:t>
          </a:r>
        </a:p>
      </xdr:txBody>
    </xdr:sp>
    <xdr:clientData/>
  </xdr:twoCellAnchor>
  <xdr:twoCellAnchor>
    <xdr:from>
      <xdr:col>0</xdr:col>
      <xdr:colOff>133350</xdr:colOff>
      <xdr:row>10</xdr:row>
      <xdr:rowOff>0</xdr:rowOff>
    </xdr:from>
    <xdr:to>
      <xdr:col>9</xdr:col>
      <xdr:colOff>409575</xdr:colOff>
      <xdr:row>14</xdr:row>
      <xdr:rowOff>114300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5DA65941-94FB-416C-9ABD-10B79865CDD3}"/>
            </a:ext>
          </a:extLst>
        </xdr:cNvPr>
        <xdr:cNvSpPr>
          <a:spLocks noChangeArrowheads="1"/>
        </xdr:cNvSpPr>
      </xdr:nvSpPr>
      <xdr:spPr bwMode="auto">
        <a:xfrm>
          <a:off x="133350" y="1809750"/>
          <a:ext cx="5210175" cy="7620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295275</xdr:colOff>
      <xdr:row>9</xdr:row>
      <xdr:rowOff>76200</xdr:rowOff>
    </xdr:from>
    <xdr:to>
      <xdr:col>3</xdr:col>
      <xdr:colOff>180975</xdr:colOff>
      <xdr:row>10</xdr:row>
      <xdr:rowOff>133350</xdr:rowOff>
    </xdr:to>
    <xdr:sp macro="" textlink="">
      <xdr:nvSpPr>
        <xdr:cNvPr id="7" name="Text 3">
          <a:extLst>
            <a:ext uri="{FF2B5EF4-FFF2-40B4-BE49-F238E27FC236}">
              <a16:creationId xmlns:a16="http://schemas.microsoft.com/office/drawing/2014/main" id="{3B286CBE-1434-422E-93FA-21949FD964D0}"/>
            </a:ext>
          </a:extLst>
        </xdr:cNvPr>
        <xdr:cNvSpPr txBox="1">
          <a:spLocks noChangeArrowheads="1"/>
        </xdr:cNvSpPr>
      </xdr:nvSpPr>
      <xdr:spPr bwMode="auto">
        <a:xfrm>
          <a:off x="438150" y="1685925"/>
          <a:ext cx="133350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2004" rIns="27432" bIns="0" anchor="t" upright="1"/>
        <a:lstStyle/>
        <a:p>
          <a:pPr algn="ctr" rtl="0">
            <a:defRPr sz="1000"/>
          </a:pPr>
          <a:r>
            <a:rPr lang="es-ES" sz="1000" b="1" i="0" u="sng" strike="noStrike">
              <a:solidFill>
                <a:srgbClr val="000000"/>
              </a:solidFill>
              <a:latin typeface="Book Antiqua"/>
            </a:rPr>
            <a:t>Datos del Cliente</a:t>
          </a:r>
        </a:p>
      </xdr:txBody>
    </xdr:sp>
    <xdr:clientData/>
  </xdr:twoCellAnchor>
  <xdr:twoCellAnchor>
    <xdr:from>
      <xdr:col>0</xdr:col>
      <xdr:colOff>0</xdr:colOff>
      <xdr:row>30</xdr:row>
      <xdr:rowOff>47625</xdr:rowOff>
    </xdr:from>
    <xdr:to>
      <xdr:col>10</xdr:col>
      <xdr:colOff>57150</xdr:colOff>
      <xdr:row>35</xdr:row>
      <xdr:rowOff>66675</xdr:rowOff>
    </xdr:to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9DEE188C-ED52-4A24-BF53-0B4734A5759A}"/>
            </a:ext>
          </a:extLst>
        </xdr:cNvPr>
        <xdr:cNvSpPr>
          <a:spLocks noChangeArrowheads="1"/>
        </xdr:cNvSpPr>
      </xdr:nvSpPr>
      <xdr:spPr bwMode="auto">
        <a:xfrm>
          <a:off x="0" y="5372100"/>
          <a:ext cx="5705475" cy="866775"/>
        </a:xfrm>
        <a:prstGeom prst="rect">
          <a:avLst/>
        </a:prstGeom>
        <a:solidFill>
          <a:srgbClr val="C0C0C0">
            <a:alpha val="3098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352425</xdr:colOff>
      <xdr:row>13</xdr:row>
      <xdr:rowOff>9525</xdr:rowOff>
    </xdr:from>
    <xdr:to>
      <xdr:col>28</xdr:col>
      <xdr:colOff>390525</xdr:colOff>
      <xdr:row>22</xdr:row>
      <xdr:rowOff>9525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A27845A9-B60D-4B3A-A40F-4DFFE4C8A984}"/>
            </a:ext>
          </a:extLst>
        </xdr:cNvPr>
        <xdr:cNvSpPr txBox="1"/>
      </xdr:nvSpPr>
      <xdr:spPr>
        <a:xfrm>
          <a:off x="14944725" y="2295525"/>
          <a:ext cx="2952750" cy="16002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 b="1"/>
            <a:t>SI LA EMPRESA</a:t>
          </a:r>
          <a:r>
            <a:rPr lang="es-ES" sz="1000" b="1" baseline="0"/>
            <a:t> NO ESTA SOMETIDA AL IVA - IGIC (NO DECLARA) ENTONCES IVA - IGIC MAYOPR IMPORTE DE LA COMPRA - FORMA PARTE DEL COSTE</a:t>
          </a:r>
        </a:p>
        <a:p>
          <a:r>
            <a:rPr lang="es-ES" sz="1000" b="1" baseline="0"/>
            <a:t>SI LA EMPRESA ESTA SOMETIDA AL IVA - IGIC  (DECLARA EL IVA- IGIC)</a:t>
          </a:r>
        </a:p>
        <a:p>
          <a:r>
            <a:rPr lang="es-ES" sz="1000" b="1" baseline="0"/>
            <a:t>ENTONCES NO TIENE EN CUENTA EL IMPORTE DEL IVA O IGIC  PARA CALCULAR EL IMPORTE DE LA COMPRA</a:t>
          </a:r>
          <a:endParaRPr lang="es-E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31235-DC06-412C-943F-5EF1F89BE3D3}">
  <dimension ref="A1:Y57"/>
  <sheetViews>
    <sheetView showGridLines="0" tabSelected="1" topLeftCell="D1" zoomScaleNormal="100" workbookViewId="0">
      <selection activeCell="N37" sqref="N37"/>
    </sheetView>
  </sheetViews>
  <sheetFormatPr baseColWidth="10" defaultRowHeight="12.75" x14ac:dyDescent="0.2"/>
  <cols>
    <col min="1" max="1" width="2.140625" customWidth="1"/>
    <col min="2" max="4" width="10.85546875" customWidth="1"/>
    <col min="5" max="5" width="2.140625" customWidth="1"/>
    <col min="6" max="6" width="10.7109375" customWidth="1"/>
    <col min="7" max="7" width="7.85546875" customWidth="1"/>
    <col min="8" max="8" width="6.85546875" customWidth="1"/>
    <col min="9" max="9" width="11.7109375" customWidth="1"/>
    <col min="10" max="10" width="10.7109375" customWidth="1"/>
    <col min="11" max="11" width="1.85546875" customWidth="1"/>
    <col min="12" max="12" width="12.7109375" bestFit="1" customWidth="1"/>
    <col min="13" max="13" width="6.28515625" customWidth="1"/>
    <col min="14" max="14" width="19.85546875" customWidth="1"/>
    <col min="15" max="15" width="4.140625" customWidth="1"/>
    <col min="16" max="16" width="6.5703125" customWidth="1"/>
    <col min="17" max="17" width="20.85546875" customWidth="1"/>
    <col min="18" max="18" width="10.5703125" customWidth="1"/>
    <col min="19" max="19" width="5.42578125" customWidth="1"/>
    <col min="20" max="20" width="11.85546875" customWidth="1"/>
    <col min="21" max="21" width="8.7109375" customWidth="1"/>
    <col min="22" max="22" width="9.42578125" customWidth="1"/>
    <col min="23" max="23" width="7.85546875" customWidth="1"/>
    <col min="24" max="24" width="8" customWidth="1"/>
    <col min="25" max="25" width="12.7109375" customWidth="1"/>
    <col min="26" max="26" width="8.140625" customWidth="1"/>
  </cols>
  <sheetData>
    <row r="1" spans="1:24" ht="15.75" x14ac:dyDescent="0.25">
      <c r="A1" s="109" t="s">
        <v>140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10" t="s">
        <v>65</v>
      </c>
      <c r="M1" s="110"/>
      <c r="N1" s="110"/>
      <c r="O1" s="110"/>
      <c r="P1" s="110"/>
      <c r="Q1" s="110"/>
      <c r="R1" s="110"/>
      <c r="T1" s="59" t="s">
        <v>136</v>
      </c>
    </row>
    <row r="2" spans="1:24" ht="12.7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t="s">
        <v>66</v>
      </c>
      <c r="T2" s="72" t="s">
        <v>111</v>
      </c>
      <c r="U2" s="73"/>
      <c r="V2" s="73"/>
      <c r="W2" s="73"/>
      <c r="X2" s="73"/>
    </row>
    <row r="3" spans="1:24" ht="15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42">
        <f>J26</f>
        <v>118.97499999999999</v>
      </c>
      <c r="M3" s="43" t="s">
        <v>67</v>
      </c>
      <c r="N3" t="s">
        <v>68</v>
      </c>
      <c r="T3" s="79" t="s">
        <v>115</v>
      </c>
      <c r="U3" s="79"/>
      <c r="V3" s="79"/>
      <c r="W3" s="79"/>
      <c r="X3" s="79"/>
    </row>
    <row r="4" spans="1:24" ht="12.75" customHeight="1" x14ac:dyDescent="0.2">
      <c r="A4" s="18"/>
      <c r="B4" s="18"/>
      <c r="C4" s="18"/>
      <c r="D4" s="18"/>
      <c r="E4" s="18"/>
      <c r="F4" s="18" t="s">
        <v>7</v>
      </c>
      <c r="G4" s="18" t="s">
        <v>8</v>
      </c>
      <c r="H4" s="18" t="s">
        <v>9</v>
      </c>
      <c r="I4" s="18"/>
      <c r="J4" s="18" t="s">
        <v>5</v>
      </c>
      <c r="K4" s="18"/>
      <c r="L4" s="42">
        <f>J27</f>
        <v>53.538750000000007</v>
      </c>
      <c r="M4" s="43" t="s">
        <v>69</v>
      </c>
      <c r="N4" t="s">
        <v>70</v>
      </c>
      <c r="U4" s="97" t="str">
        <f>IF(D18="","",D18)</f>
        <v>Souvenir</v>
      </c>
      <c r="V4" s="97" t="str">
        <f>IF(D19="","",D19)</f>
        <v>Agua  y refrescos</v>
      </c>
      <c r="W4" s="97" t="str">
        <f>IF(D20="","----",D20)</f>
        <v>----</v>
      </c>
    </row>
    <row r="5" spans="1:24" ht="12.75" customHeight="1" x14ac:dyDescent="0.2">
      <c r="A5" s="18"/>
      <c r="B5" s="19" t="s">
        <v>98</v>
      </c>
      <c r="C5" s="18"/>
      <c r="D5" s="18"/>
      <c r="E5" s="18"/>
      <c r="F5" s="18" t="s">
        <v>3</v>
      </c>
      <c r="G5" s="20" t="s">
        <v>99</v>
      </c>
      <c r="H5" s="18" t="s">
        <v>10</v>
      </c>
      <c r="I5" s="18"/>
      <c r="J5" s="21">
        <v>458</v>
      </c>
      <c r="K5" s="18"/>
      <c r="L5" s="42">
        <f>R5+R6-L3-L4</f>
        <v>1212.0693750000003</v>
      </c>
      <c r="M5" s="43" t="s">
        <v>71</v>
      </c>
      <c r="N5" t="s">
        <v>72</v>
      </c>
      <c r="O5" s="63" t="s">
        <v>5</v>
      </c>
      <c r="P5" s="43" t="s">
        <v>73</v>
      </c>
      <c r="Q5" s="43" t="s">
        <v>74</v>
      </c>
      <c r="R5" s="42">
        <f>J24</f>
        <v>1189.75</v>
      </c>
      <c r="U5" s="97"/>
      <c r="V5" s="97"/>
      <c r="W5" s="97"/>
    </row>
    <row r="6" spans="1:24" x14ac:dyDescent="0.2">
      <c r="A6" s="18"/>
      <c r="B6" s="18" t="s">
        <v>11</v>
      </c>
      <c r="C6" s="18"/>
      <c r="D6" s="18"/>
      <c r="E6" s="18"/>
      <c r="F6" s="18" t="s">
        <v>12</v>
      </c>
      <c r="G6" s="18">
        <v>5545</v>
      </c>
      <c r="H6" s="18" t="s">
        <v>13</v>
      </c>
      <c r="I6" s="18"/>
      <c r="J6" s="20" t="s">
        <v>100</v>
      </c>
      <c r="K6" s="18"/>
      <c r="L6" s="44"/>
      <c r="M6" s="43"/>
      <c r="P6" s="43" t="s">
        <v>75</v>
      </c>
      <c r="Q6" t="s">
        <v>44</v>
      </c>
      <c r="R6" s="42">
        <f>J28</f>
        <v>194.833125</v>
      </c>
      <c r="T6" s="67" t="s">
        <v>110</v>
      </c>
      <c r="U6" s="84">
        <f>IF(C18="","",C18)</f>
        <v>200</v>
      </c>
      <c r="V6" s="65">
        <f>IF(C19="","",C19)</f>
        <v>500</v>
      </c>
      <c r="W6" t="str">
        <f>IF(C20="","",C20)</f>
        <v/>
      </c>
    </row>
    <row r="7" spans="1:24" ht="15.75" x14ac:dyDescent="0.25">
      <c r="A7" s="18"/>
      <c r="B7" s="18" t="s">
        <v>14</v>
      </c>
      <c r="C7" s="18"/>
      <c r="D7" s="18"/>
      <c r="E7" s="18"/>
      <c r="F7" s="18" t="s">
        <v>15</v>
      </c>
      <c r="G7" s="18"/>
      <c r="H7" s="18" t="s">
        <v>16</v>
      </c>
      <c r="I7" s="18"/>
      <c r="J7" s="18"/>
      <c r="K7" s="18"/>
      <c r="M7" s="103" t="s">
        <v>76</v>
      </c>
      <c r="N7" s="103"/>
      <c r="O7" s="103"/>
      <c r="P7" s="103"/>
      <c r="Q7" s="103"/>
      <c r="T7" s="67" t="s">
        <v>108</v>
      </c>
      <c r="U7" s="46">
        <f>IF(I18="","",I18)</f>
        <v>5.5</v>
      </c>
      <c r="V7" s="46">
        <f>IF(I19="","",I19)</f>
        <v>0.47</v>
      </c>
      <c r="W7" t="str">
        <f>IF(I20="","",I20)</f>
        <v/>
      </c>
    </row>
    <row r="8" spans="1:24" x14ac:dyDescent="0.2">
      <c r="A8" s="18"/>
      <c r="B8" s="18" t="s">
        <v>17</v>
      </c>
      <c r="C8" s="18"/>
      <c r="D8" s="18"/>
      <c r="E8" s="18"/>
      <c r="F8" s="18"/>
      <c r="G8" s="18"/>
      <c r="H8" s="18"/>
      <c r="I8" s="18"/>
      <c r="J8" s="18"/>
      <c r="K8" s="18"/>
      <c r="L8" s="100" t="s">
        <v>77</v>
      </c>
      <c r="M8" s="100"/>
      <c r="N8" s="100"/>
      <c r="O8" s="100"/>
      <c r="P8" s="100"/>
      <c r="Q8" s="100"/>
      <c r="R8" s="100"/>
      <c r="T8" s="67" t="s">
        <v>56</v>
      </c>
      <c r="U8" s="35">
        <f>IF(G18="","",G18)</f>
        <v>0.21</v>
      </c>
      <c r="V8" s="35">
        <f>IF(G19="","",G19)</f>
        <v>0.1</v>
      </c>
      <c r="W8" t="str">
        <f>IF(G20="","",G20)</f>
        <v/>
      </c>
    </row>
    <row r="9" spans="1:24" ht="15.75" x14ac:dyDescent="0.25">
      <c r="A9" s="18"/>
      <c r="B9" s="18" t="s">
        <v>18</v>
      </c>
      <c r="C9" s="18"/>
      <c r="D9" s="18"/>
      <c r="E9" s="18"/>
      <c r="F9" s="18"/>
      <c r="G9" s="18"/>
      <c r="H9" s="18"/>
      <c r="I9" s="18"/>
      <c r="J9" s="18"/>
      <c r="K9" s="18"/>
      <c r="L9" s="110" t="s">
        <v>78</v>
      </c>
      <c r="M9" s="110"/>
      <c r="N9" s="110"/>
      <c r="O9" s="110"/>
      <c r="P9" s="110"/>
      <c r="Q9" s="110"/>
      <c r="R9" s="110"/>
      <c r="T9" s="79" t="s">
        <v>114</v>
      </c>
      <c r="U9" s="79"/>
      <c r="V9" s="79"/>
      <c r="W9" s="79"/>
      <c r="X9" s="79"/>
    </row>
    <row r="10" spans="1:24" ht="15.7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t="s">
        <v>66</v>
      </c>
      <c r="T10" s="77" t="s">
        <v>116</v>
      </c>
      <c r="U10" s="70">
        <f>IF(G18="","",H18)</f>
        <v>0.1</v>
      </c>
      <c r="V10" s="70">
        <f>IF(G19="","",H19)</f>
        <v>0.15</v>
      </c>
      <c r="W10" t="str">
        <f>IF(G20="","",H20)</f>
        <v/>
      </c>
    </row>
    <row r="11" spans="1:24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42">
        <f>R5</f>
        <v>1189.75</v>
      </c>
      <c r="M11" s="43" t="s">
        <v>79</v>
      </c>
      <c r="N11" t="s">
        <v>80</v>
      </c>
      <c r="U11" s="46">
        <f>IF(U6="","",U7*(1-U10))</f>
        <v>4.95</v>
      </c>
      <c r="V11" s="46">
        <f t="shared" ref="V11:W11" si="0">IF(V6="","",V7*(1-V10))</f>
        <v>0.39949999999999997</v>
      </c>
      <c r="W11" s="46" t="str">
        <f t="shared" si="0"/>
        <v/>
      </c>
    </row>
    <row r="12" spans="1:24" x14ac:dyDescent="0.2">
      <c r="A12" s="18"/>
      <c r="B12" s="18" t="s">
        <v>19</v>
      </c>
      <c r="C12" s="48" t="s">
        <v>94</v>
      </c>
      <c r="D12" s="18"/>
      <c r="E12" s="18"/>
      <c r="F12" s="18" t="s">
        <v>20</v>
      </c>
      <c r="G12" s="18"/>
      <c r="H12" s="18">
        <v>45554</v>
      </c>
      <c r="I12" s="18"/>
      <c r="J12" s="18"/>
      <c r="K12" s="18"/>
      <c r="L12" s="42">
        <f>R6</f>
        <v>194.833125</v>
      </c>
      <c r="M12" s="43" t="s">
        <v>81</v>
      </c>
      <c r="N12" t="s">
        <v>82</v>
      </c>
      <c r="O12" s="63" t="s">
        <v>5</v>
      </c>
      <c r="P12" s="43" t="s">
        <v>83</v>
      </c>
      <c r="Q12" t="s">
        <v>84</v>
      </c>
      <c r="R12" s="42">
        <f>L4</f>
        <v>53.538750000000007</v>
      </c>
      <c r="U12" s="69">
        <f>IF(U6="","",(U11*U6))</f>
        <v>990</v>
      </c>
      <c r="V12" s="69">
        <f t="shared" ref="V12:W12" si="1">IF(V6="","",(V11*V6))</f>
        <v>199.74999999999997</v>
      </c>
      <c r="W12" s="69" t="str">
        <f t="shared" si="1"/>
        <v/>
      </c>
      <c r="X12" s="62">
        <f>SUM(U12:W12)</f>
        <v>1189.75</v>
      </c>
    </row>
    <row r="13" spans="1:24" ht="12.75" customHeight="1" x14ac:dyDescent="0.2">
      <c r="A13" s="18"/>
      <c r="B13" s="18" t="s">
        <v>21</v>
      </c>
      <c r="C13" s="18" t="s">
        <v>22</v>
      </c>
      <c r="D13" s="18"/>
      <c r="E13" s="18"/>
      <c r="F13" s="18" t="s">
        <v>23</v>
      </c>
      <c r="G13" s="22" t="s">
        <v>95</v>
      </c>
      <c r="H13" s="18"/>
      <c r="I13" s="18"/>
      <c r="J13" s="18"/>
      <c r="K13" s="18"/>
      <c r="L13" s="42"/>
      <c r="M13" s="43"/>
      <c r="P13" s="43" t="s">
        <v>85</v>
      </c>
      <c r="Q13" t="s">
        <v>86</v>
      </c>
      <c r="R13" s="42">
        <f>L3</f>
        <v>118.97499999999999</v>
      </c>
      <c r="T13" s="77" t="s">
        <v>117</v>
      </c>
      <c r="U13" s="46">
        <f>IF(U6="","",(U11-(U11*$T$14)))</f>
        <v>4.4550000000000001</v>
      </c>
      <c r="V13" s="46">
        <f>IF(V6="","",(V11-(V11*$T$14)))</f>
        <v>0.35954999999999998</v>
      </c>
      <c r="W13" s="46" t="str">
        <f>IF(W6="","",(W11-(W11*$T$14)))</f>
        <v/>
      </c>
    </row>
    <row r="14" spans="1:24" x14ac:dyDescent="0.2">
      <c r="A14" s="18"/>
      <c r="B14" s="18" t="s">
        <v>24</v>
      </c>
      <c r="C14" s="18" t="s">
        <v>25</v>
      </c>
      <c r="D14" s="18"/>
      <c r="E14" s="18"/>
      <c r="F14" s="18" t="s">
        <v>26</v>
      </c>
      <c r="G14" s="18" t="s">
        <v>27</v>
      </c>
      <c r="H14" s="18"/>
      <c r="I14" s="18"/>
      <c r="J14" s="18"/>
      <c r="K14" s="18"/>
      <c r="P14" s="43" t="s">
        <v>87</v>
      </c>
      <c r="Q14" t="s">
        <v>88</v>
      </c>
      <c r="R14" s="42">
        <f>L5</f>
        <v>1212.0693750000003</v>
      </c>
      <c r="T14" s="76">
        <f>C27</f>
        <v>0.1</v>
      </c>
      <c r="U14" s="78">
        <f>IF(U6="","",U6*U13)</f>
        <v>891</v>
      </c>
      <c r="V14" s="78">
        <f>IF(V6="","",V6*V13)</f>
        <v>179.77499999999998</v>
      </c>
      <c r="W14" s="78" t="str">
        <f>IF(W6="","",W6*W13)</f>
        <v/>
      </c>
      <c r="X14" s="62">
        <f>SUM(U14:W14)</f>
        <v>1070.7750000000001</v>
      </c>
    </row>
    <row r="15" spans="1:24" ht="15.75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M15" s="103" t="s">
        <v>89</v>
      </c>
      <c r="N15" s="103"/>
      <c r="O15" s="103"/>
      <c r="P15" s="103"/>
      <c r="Q15" s="103"/>
      <c r="T15" s="77" t="s">
        <v>118</v>
      </c>
      <c r="U15" s="46">
        <f>IF(U6="","",(1-$T$16)*U13)</f>
        <v>4.2322499999999996</v>
      </c>
      <c r="V15" s="46">
        <f t="shared" ref="V15:W15" si="2">IF(V6="","",(1-$T$16)*V13)</f>
        <v>0.34157249999999995</v>
      </c>
      <c r="W15" s="46" t="str">
        <f t="shared" si="2"/>
        <v/>
      </c>
    </row>
    <row r="16" spans="1:24" x14ac:dyDescent="0.2">
      <c r="A16" s="15"/>
      <c r="B16" s="6"/>
      <c r="C16" s="6"/>
      <c r="D16" s="6"/>
      <c r="E16" s="6"/>
      <c r="F16" s="6"/>
      <c r="G16" s="6"/>
      <c r="H16" s="6"/>
      <c r="I16" s="6"/>
      <c r="J16" s="6"/>
      <c r="K16" s="10"/>
      <c r="L16" t="s">
        <v>66</v>
      </c>
      <c r="T16" s="76">
        <f>C28</f>
        <v>0.05</v>
      </c>
      <c r="U16" s="78">
        <f>IF(U6="","",U6*U15)</f>
        <v>846.44999999999993</v>
      </c>
      <c r="V16" s="78">
        <f>IF(V6="","",V6*V15)</f>
        <v>170.78624999999997</v>
      </c>
      <c r="W16" s="78" t="str">
        <f>IF(W6="","",W6*W15)</f>
        <v/>
      </c>
      <c r="X16" s="62">
        <f>SUM(U16:W16)</f>
        <v>1017.2362499999999</v>
      </c>
    </row>
    <row r="17" spans="1:24" ht="15" customHeight="1" x14ac:dyDescent="0.3">
      <c r="A17" s="5"/>
      <c r="B17" s="23" t="s">
        <v>28</v>
      </c>
      <c r="C17" s="23" t="s">
        <v>2</v>
      </c>
      <c r="D17" s="24" t="s">
        <v>29</v>
      </c>
      <c r="E17" s="24"/>
      <c r="F17" s="24"/>
      <c r="G17" s="24" t="s">
        <v>30</v>
      </c>
      <c r="H17" s="23" t="s">
        <v>31</v>
      </c>
      <c r="I17" s="23" t="s">
        <v>32</v>
      </c>
      <c r="J17" s="23" t="s">
        <v>0</v>
      </c>
      <c r="K17" s="25"/>
      <c r="L17" s="42">
        <f>C42</f>
        <v>80</v>
      </c>
      <c r="M17" s="43" t="s">
        <v>79</v>
      </c>
      <c r="N17" t="s">
        <v>80</v>
      </c>
      <c r="T17" s="79" t="s">
        <v>119</v>
      </c>
      <c r="U17" s="79"/>
      <c r="V17" s="79"/>
      <c r="W17" s="79"/>
      <c r="X17" s="79"/>
    </row>
    <row r="18" spans="1:24" x14ac:dyDescent="0.2">
      <c r="A18" s="5"/>
      <c r="B18" s="17">
        <v>254</v>
      </c>
      <c r="C18" s="26">
        <v>200</v>
      </c>
      <c r="D18" s="107" t="s">
        <v>96</v>
      </c>
      <c r="E18" s="108"/>
      <c r="F18" s="108"/>
      <c r="G18" s="27">
        <v>0.21</v>
      </c>
      <c r="H18" s="27">
        <v>0.1</v>
      </c>
      <c r="I18" s="46">
        <v>5.5</v>
      </c>
      <c r="J18" s="49">
        <f>C18*I18*(1-H18)</f>
        <v>990</v>
      </c>
      <c r="K18" s="29"/>
      <c r="L18" s="42">
        <f>F42</f>
        <v>3.6</v>
      </c>
      <c r="M18" s="43" t="s">
        <v>81</v>
      </c>
      <c r="N18" t="s">
        <v>82</v>
      </c>
      <c r="O18" s="63" t="s">
        <v>5</v>
      </c>
      <c r="P18" s="43" t="s">
        <v>90</v>
      </c>
      <c r="Q18" t="s">
        <v>91</v>
      </c>
      <c r="R18" s="42">
        <f>L17+L18</f>
        <v>83.6</v>
      </c>
      <c r="T18" s="61" t="s">
        <v>120</v>
      </c>
      <c r="U18" s="78">
        <f>IF(U16="","",U16)</f>
        <v>846.44999999999993</v>
      </c>
      <c r="V18" s="78">
        <f t="shared" ref="V18:W18" si="3">IF(V16="","",V16)</f>
        <v>170.78624999999997</v>
      </c>
      <c r="W18" s="78" t="str">
        <f t="shared" si="3"/>
        <v/>
      </c>
      <c r="X18" s="62">
        <f>SUM(U18:W18)</f>
        <v>1017.2362499999999</v>
      </c>
    </row>
    <row r="19" spans="1:24" ht="15.75" x14ac:dyDescent="0.25">
      <c r="A19" s="5"/>
      <c r="B19" s="17">
        <v>125</v>
      </c>
      <c r="C19" s="26">
        <v>500</v>
      </c>
      <c r="D19" s="107" t="s">
        <v>97</v>
      </c>
      <c r="E19" s="108"/>
      <c r="F19" s="108"/>
      <c r="G19" s="27">
        <v>0.1</v>
      </c>
      <c r="H19" s="27">
        <v>0.15</v>
      </c>
      <c r="I19" s="46">
        <v>0.47</v>
      </c>
      <c r="J19" s="49">
        <f>C19*I19*(1-H19)</f>
        <v>199.75</v>
      </c>
      <c r="K19" s="29"/>
      <c r="M19" s="103" t="s">
        <v>92</v>
      </c>
      <c r="N19" s="103"/>
      <c r="O19" s="103"/>
      <c r="P19" s="103"/>
      <c r="Q19" s="103"/>
      <c r="T19" s="61" t="s">
        <v>121</v>
      </c>
      <c r="U19" s="80">
        <f>IF(U6="","",U8)</f>
        <v>0.21</v>
      </c>
      <c r="V19" s="80">
        <f t="shared" ref="V19:W19" si="4">IF(V6="","",V8)</f>
        <v>0.1</v>
      </c>
      <c r="W19" s="80" t="str">
        <f t="shared" si="4"/>
        <v/>
      </c>
    </row>
    <row r="20" spans="1:24" x14ac:dyDescent="0.2">
      <c r="A20" s="5"/>
      <c r="B20" s="17"/>
      <c r="C20" s="26"/>
      <c r="D20" s="17"/>
      <c r="E20" s="17"/>
      <c r="F20" s="17"/>
      <c r="G20" s="27"/>
      <c r="H20" s="27"/>
      <c r="I20" s="28"/>
      <c r="J20" s="17"/>
      <c r="K20" s="13"/>
      <c r="L20" s="100" t="s">
        <v>77</v>
      </c>
      <c r="M20" s="100"/>
      <c r="N20" s="100"/>
      <c r="O20" s="100"/>
      <c r="P20" s="100"/>
      <c r="Q20" s="100"/>
      <c r="R20" s="100"/>
      <c r="T20" s="76" t="s">
        <v>101</v>
      </c>
      <c r="U20" s="78">
        <f>IF(U18="","",U19*U18)</f>
        <v>177.75449999999998</v>
      </c>
      <c r="V20" s="78">
        <f t="shared" ref="V20:W20" si="5">IF(V18="","",V19*V18)</f>
        <v>17.078624999999999</v>
      </c>
      <c r="W20" s="78" t="str">
        <f t="shared" si="5"/>
        <v/>
      </c>
      <c r="X20" s="62">
        <f>SUM(U20:W20)</f>
        <v>194.83312499999997</v>
      </c>
    </row>
    <row r="21" spans="1:24" ht="15.75" x14ac:dyDescent="0.25">
      <c r="A21" s="5"/>
      <c r="B21" s="17"/>
      <c r="C21" s="26"/>
      <c r="D21" s="17"/>
      <c r="E21" s="17"/>
      <c r="F21" s="17"/>
      <c r="G21" s="27"/>
      <c r="H21" s="27"/>
      <c r="I21" s="28"/>
      <c r="J21" s="17"/>
      <c r="K21" s="13"/>
      <c r="L21" s="110" t="s">
        <v>93</v>
      </c>
      <c r="M21" s="110"/>
      <c r="N21" s="110"/>
      <c r="O21" s="110"/>
      <c r="P21" s="110"/>
      <c r="Q21" s="110"/>
      <c r="R21" s="110"/>
      <c r="T21" s="72" t="s">
        <v>112</v>
      </c>
      <c r="U21" s="72"/>
      <c r="V21" s="72"/>
      <c r="W21" s="72"/>
      <c r="X21" s="72"/>
    </row>
    <row r="22" spans="1:24" x14ac:dyDescent="0.2">
      <c r="A22" s="5"/>
      <c r="B22" s="17"/>
      <c r="C22" s="26"/>
      <c r="D22" s="17"/>
      <c r="E22" s="17"/>
      <c r="F22" s="17"/>
      <c r="G22" s="27"/>
      <c r="H22" s="27"/>
      <c r="I22" s="28"/>
      <c r="J22" s="17"/>
      <c r="K22" s="13"/>
      <c r="L22" t="s">
        <v>66</v>
      </c>
      <c r="T22" s="64" t="s">
        <v>113</v>
      </c>
      <c r="U22" s="81" t="str">
        <f>B39</f>
        <v>Transportes</v>
      </c>
      <c r="V22" s="81" t="str">
        <f>B40</f>
        <v>Aduana</v>
      </c>
      <c r="W22" s="81" t="str">
        <f>B41</f>
        <v>Seguro</v>
      </c>
    </row>
    <row r="23" spans="1:24" x14ac:dyDescent="0.2">
      <c r="A23" s="5"/>
      <c r="K23" s="9"/>
      <c r="L23" s="42">
        <f>L11+L12</f>
        <v>1384.5831250000001</v>
      </c>
      <c r="M23" s="43" t="s">
        <v>79</v>
      </c>
      <c r="N23" t="s">
        <v>80</v>
      </c>
      <c r="T23" s="61" t="s">
        <v>120</v>
      </c>
      <c r="U23" s="75">
        <f>IF(D39="","",C39)</f>
        <v>75</v>
      </c>
      <c r="V23" s="75" t="str">
        <f>IF(D40="","",C40)</f>
        <v/>
      </c>
      <c r="W23" s="75">
        <f>IF(D41="","",C41)</f>
        <v>5</v>
      </c>
      <c r="X23" s="68">
        <f>SUM(U23:W23)</f>
        <v>80</v>
      </c>
    </row>
    <row r="24" spans="1:24" x14ac:dyDescent="0.2">
      <c r="A24" s="5"/>
      <c r="I24" t="s">
        <v>33</v>
      </c>
      <c r="J24" s="34">
        <f>J19+J18</f>
        <v>1189.75</v>
      </c>
      <c r="K24" s="13"/>
      <c r="O24" s="63" t="s">
        <v>5</v>
      </c>
      <c r="P24" s="43" t="s">
        <v>83</v>
      </c>
      <c r="Q24" t="s">
        <v>84</v>
      </c>
      <c r="R24" s="42">
        <f>R12</f>
        <v>53.538750000000007</v>
      </c>
      <c r="T24" s="61" t="s">
        <v>121</v>
      </c>
      <c r="U24" s="82">
        <f>IF(D39="","",D39)</f>
        <v>4.4999999999999998E-2</v>
      </c>
      <c r="V24" s="82" t="str">
        <f>IF(D40="","",D40)</f>
        <v/>
      </c>
      <c r="W24" s="82">
        <f>IF(D41="","",D41)</f>
        <v>4.4999999999999998E-2</v>
      </c>
    </row>
    <row r="25" spans="1:24" x14ac:dyDescent="0.2">
      <c r="A25" s="5"/>
      <c r="B25" s="111" t="s">
        <v>34</v>
      </c>
      <c r="C25" s="111"/>
      <c r="D25" s="112" t="s">
        <v>35</v>
      </c>
      <c r="E25" s="112"/>
      <c r="F25" s="112"/>
      <c r="I25" s="1" t="s">
        <v>36</v>
      </c>
      <c r="J25" s="34">
        <f>J24</f>
        <v>1189.75</v>
      </c>
      <c r="K25" s="30"/>
      <c r="L25" s="42"/>
      <c r="M25" s="43"/>
      <c r="P25" s="43" t="s">
        <v>85</v>
      </c>
      <c r="Q25" t="s">
        <v>86</v>
      </c>
      <c r="R25" s="42">
        <f>R13</f>
        <v>118.97499999999999</v>
      </c>
      <c r="T25" s="76" t="s">
        <v>101</v>
      </c>
      <c r="U25" s="71">
        <f>IF(U23="","",U23*U24)</f>
        <v>3.375</v>
      </c>
      <c r="V25" s="71" t="str">
        <f t="shared" ref="V25:W25" si="6">IF(V23="","",V23*V24)</f>
        <v/>
      </c>
      <c r="W25" s="71">
        <f t="shared" si="6"/>
        <v>0.22499999999999998</v>
      </c>
      <c r="X25" s="68">
        <f>SUM(U25:W25)</f>
        <v>3.6</v>
      </c>
    </row>
    <row r="26" spans="1:24" ht="15" x14ac:dyDescent="0.25">
      <c r="A26" s="5"/>
      <c r="B26" s="111"/>
      <c r="C26" s="111"/>
      <c r="D26" s="16" t="s">
        <v>37</v>
      </c>
      <c r="E26" s="16"/>
      <c r="F26" s="16" t="s">
        <v>38</v>
      </c>
      <c r="G26" s="16" t="s">
        <v>39</v>
      </c>
      <c r="I26" s="4" t="s">
        <v>40</v>
      </c>
      <c r="J26" s="34">
        <f>D27+F27</f>
        <v>118.97499999999999</v>
      </c>
      <c r="K26" s="30"/>
      <c r="L26" s="42"/>
      <c r="M26" s="43"/>
      <c r="P26" s="43" t="s">
        <v>87</v>
      </c>
      <c r="Q26" t="s">
        <v>88</v>
      </c>
      <c r="R26" s="42">
        <f>L23-R24-R25</f>
        <v>1212.0693750000003</v>
      </c>
      <c r="T26" s="72" t="s">
        <v>109</v>
      </c>
      <c r="U26" s="72"/>
      <c r="V26" s="72"/>
      <c r="W26" s="72"/>
      <c r="X26" s="72"/>
    </row>
    <row r="27" spans="1:24" ht="15.75" x14ac:dyDescent="0.25">
      <c r="A27" s="5"/>
      <c r="B27" s="1" t="s">
        <v>41</v>
      </c>
      <c r="C27" s="27">
        <v>0.1</v>
      </c>
      <c r="D27" s="49">
        <f>C27*J18</f>
        <v>99</v>
      </c>
      <c r="F27" s="49">
        <f>J19*C27</f>
        <v>19.975000000000001</v>
      </c>
      <c r="G27" s="49">
        <v>0</v>
      </c>
      <c r="I27" s="4" t="s">
        <v>42</v>
      </c>
      <c r="J27" s="34">
        <f>D28+F28+G28</f>
        <v>53.538750000000007</v>
      </c>
      <c r="K27" s="30"/>
      <c r="M27" s="103" t="s">
        <v>89</v>
      </c>
      <c r="N27" s="103"/>
      <c r="O27" s="103"/>
      <c r="P27" s="103"/>
      <c r="Q27" s="103"/>
      <c r="T27" s="64"/>
      <c r="U27" s="97" t="str">
        <f>U4</f>
        <v>Souvenir</v>
      </c>
      <c r="V27" s="97" t="str">
        <f>V4</f>
        <v>Agua  y refrescos</v>
      </c>
      <c r="W27" s="97" t="str">
        <f>W4</f>
        <v>----</v>
      </c>
    </row>
    <row r="28" spans="1:24" x14ac:dyDescent="0.2">
      <c r="A28" s="5"/>
      <c r="B28" s="1" t="s">
        <v>43</v>
      </c>
      <c r="C28" s="27">
        <v>0.05</v>
      </c>
      <c r="D28" s="49">
        <f>(J18-D27)*C28</f>
        <v>44.550000000000004</v>
      </c>
      <c r="F28" s="49">
        <f>(J19-F27)*C28</f>
        <v>8.9887500000000014</v>
      </c>
      <c r="G28" s="49">
        <v>0</v>
      </c>
      <c r="I28" s="4" t="s">
        <v>44</v>
      </c>
      <c r="J28" s="34">
        <f>D30+F30+G30</f>
        <v>194.833125</v>
      </c>
      <c r="K28" s="30"/>
      <c r="L28" s="100" t="s">
        <v>66</v>
      </c>
      <c r="M28" s="100"/>
      <c r="N28" s="100"/>
      <c r="O28" s="100"/>
      <c r="P28" s="100"/>
      <c r="Q28" s="100"/>
      <c r="R28" s="100"/>
      <c r="U28" s="97"/>
      <c r="V28" s="97"/>
      <c r="W28" s="97"/>
      <c r="X28" s="68"/>
    </row>
    <row r="29" spans="1:24" x14ac:dyDescent="0.2">
      <c r="A29" s="5"/>
      <c r="C29" s="1" t="s">
        <v>45</v>
      </c>
      <c r="D29" s="49">
        <f>J18-D27-D28</f>
        <v>846.45</v>
      </c>
      <c r="F29" s="49">
        <f>J19-F27-F28</f>
        <v>170.78625</v>
      </c>
      <c r="G29" s="49">
        <v>0</v>
      </c>
      <c r="K29" s="9"/>
      <c r="L29" s="42">
        <f>L17+L18</f>
        <v>83.6</v>
      </c>
      <c r="M29" s="43" t="s">
        <v>79</v>
      </c>
      <c r="N29" t="s">
        <v>80</v>
      </c>
      <c r="O29" s="63" t="s">
        <v>5</v>
      </c>
      <c r="P29" s="43" t="s">
        <v>90</v>
      </c>
      <c r="Q29" t="s">
        <v>91</v>
      </c>
      <c r="R29" s="42">
        <f>L29+L30</f>
        <v>83.6</v>
      </c>
      <c r="T29" t="s">
        <v>6</v>
      </c>
      <c r="U29" s="66"/>
      <c r="V29" s="66"/>
      <c r="W29" s="66"/>
      <c r="X29" s="74">
        <f ca="1">SUM(U29:X29)</f>
        <v>0</v>
      </c>
    </row>
    <row r="30" spans="1:24" ht="15.75" x14ac:dyDescent="0.25">
      <c r="A30" s="3"/>
      <c r="B30" s="8"/>
      <c r="C30" s="12" t="s">
        <v>46</v>
      </c>
      <c r="D30" s="50">
        <f>D29*G18</f>
        <v>177.75450000000001</v>
      </c>
      <c r="E30" s="51"/>
      <c r="F30" s="52">
        <f>G19*F29</f>
        <v>17.078624999999999</v>
      </c>
      <c r="G30" s="50">
        <v>0</v>
      </c>
      <c r="H30" s="8"/>
      <c r="I30" s="31" t="s">
        <v>47</v>
      </c>
      <c r="J30" s="53">
        <f>J25-J26-J27+J28</f>
        <v>1212.069375</v>
      </c>
      <c r="K30" s="32"/>
      <c r="L30" s="42"/>
      <c r="M30" s="103" t="s">
        <v>92</v>
      </c>
      <c r="N30" s="103"/>
      <c r="O30" s="103"/>
      <c r="P30" s="103"/>
      <c r="Q30" s="103"/>
      <c r="T30" s="59" t="s">
        <v>124</v>
      </c>
      <c r="U30" s="59"/>
      <c r="V30" s="68"/>
      <c r="W30" s="68"/>
      <c r="X30" s="68"/>
    </row>
    <row r="31" spans="1:24" x14ac:dyDescent="0.2">
      <c r="A31" s="1"/>
      <c r="E31" s="2"/>
      <c r="F31" s="33"/>
      <c r="L31" s="100" t="s">
        <v>77</v>
      </c>
      <c r="M31" s="100"/>
      <c r="N31" s="100"/>
      <c r="O31" s="100"/>
      <c r="P31" s="100"/>
      <c r="Q31" s="100"/>
      <c r="R31" s="100"/>
      <c r="U31" s="106" t="s">
        <v>0</v>
      </c>
      <c r="V31" s="106" t="str">
        <f>U4</f>
        <v>Souvenir</v>
      </c>
      <c r="W31" s="106" t="str">
        <f>V4</f>
        <v>Agua  y refrescos</v>
      </c>
      <c r="X31" s="106" t="str">
        <f>W4</f>
        <v>----</v>
      </c>
    </row>
    <row r="32" spans="1:24" x14ac:dyDescent="0.2">
      <c r="A32" s="1"/>
      <c r="B32" s="98" t="s">
        <v>48</v>
      </c>
      <c r="C32" s="98"/>
      <c r="D32" s="98"/>
      <c r="F32" s="98" t="s">
        <v>49</v>
      </c>
      <c r="G32" s="98"/>
      <c r="H32" s="98"/>
      <c r="I32" s="98"/>
      <c r="J32" s="98"/>
      <c r="U32" s="106"/>
      <c r="V32" s="106"/>
      <c r="W32" s="106"/>
      <c r="X32" s="106"/>
    </row>
    <row r="33" spans="1:25" ht="12.75" customHeight="1" x14ac:dyDescent="0.2">
      <c r="B33" t="s">
        <v>50</v>
      </c>
      <c r="C33" t="s">
        <v>51</v>
      </c>
      <c r="T33" s="61" t="s">
        <v>2</v>
      </c>
      <c r="U33" s="33">
        <f>SUM(V33:X33)</f>
        <v>700</v>
      </c>
      <c r="V33" s="85">
        <f>U6</f>
        <v>200</v>
      </c>
      <c r="W33" s="85">
        <f>V6</f>
        <v>500</v>
      </c>
      <c r="X33" s="85" t="str">
        <f>W6</f>
        <v/>
      </c>
    </row>
    <row r="34" spans="1:25" x14ac:dyDescent="0.2">
      <c r="B34" s="99" t="s">
        <v>52</v>
      </c>
      <c r="C34" s="99"/>
      <c r="D34" s="99"/>
      <c r="T34" s="89" t="s">
        <v>122</v>
      </c>
      <c r="U34" s="90">
        <f>SUM(V34:X34)</f>
        <v>1189.75</v>
      </c>
      <c r="V34" s="91">
        <f>IF(U12="","",U12)</f>
        <v>990</v>
      </c>
      <c r="W34" s="92">
        <f>IF(V12="","",V12)</f>
        <v>199.74999999999997</v>
      </c>
      <c r="X34" s="69" t="str">
        <f>IF(W12="","",W12)</f>
        <v/>
      </c>
    </row>
    <row r="35" spans="1:25" x14ac:dyDescent="0.2">
      <c r="B35" s="99"/>
      <c r="C35" s="99"/>
      <c r="D35" s="99"/>
      <c r="F35" s="100" t="s">
        <v>53</v>
      </c>
      <c r="G35" s="100"/>
      <c r="H35" s="100"/>
      <c r="I35" s="100"/>
      <c r="J35" s="100"/>
      <c r="T35" s="93" t="s">
        <v>123</v>
      </c>
      <c r="U35" s="94">
        <f>SUM(V35:X35)</f>
        <v>1</v>
      </c>
      <c r="V35" s="95">
        <f>IF(V34="","",V34/U34)</f>
        <v>0.83210758562723264</v>
      </c>
      <c r="W35" s="96">
        <f>IF(W34="","",W34/U34)</f>
        <v>0.16789241437276736</v>
      </c>
      <c r="X35" s="83" t="str">
        <f>IF(X34="","",X34/U34)</f>
        <v/>
      </c>
    </row>
    <row r="36" spans="1:25" x14ac:dyDescent="0.2">
      <c r="T36" s="86" t="s">
        <v>129</v>
      </c>
      <c r="X36" s="62" t="str">
        <f>W18</f>
        <v/>
      </c>
    </row>
    <row r="37" spans="1:25" x14ac:dyDescent="0.2">
      <c r="B37" s="14" t="s">
        <v>54</v>
      </c>
      <c r="T37" s="61" t="s">
        <v>126</v>
      </c>
      <c r="U37" s="62">
        <f>SUM(V37:W37)</f>
        <v>1017.2362499999999</v>
      </c>
      <c r="V37" s="62">
        <f>U18</f>
        <v>846.44999999999993</v>
      </c>
      <c r="W37" s="62">
        <f>V18</f>
        <v>170.78624999999997</v>
      </c>
      <c r="X37" s="62" t="str">
        <f>W20</f>
        <v/>
      </c>
    </row>
    <row r="38" spans="1:25" x14ac:dyDescent="0.2">
      <c r="A38" s="15"/>
      <c r="B38" s="6"/>
      <c r="C38" s="47" t="s">
        <v>55</v>
      </c>
      <c r="D38" s="101" t="s">
        <v>56</v>
      </c>
      <c r="E38" s="101"/>
      <c r="F38" s="101"/>
      <c r="G38" s="47" t="s">
        <v>0</v>
      </c>
      <c r="H38" s="102" t="s">
        <v>57</v>
      </c>
      <c r="I38" s="102"/>
      <c r="J38" s="102"/>
      <c r="K38" s="10"/>
      <c r="T38" s="61" t="s">
        <v>125</v>
      </c>
      <c r="U38" s="62">
        <f>SUM(V38:W38)</f>
        <v>194.83312499999997</v>
      </c>
      <c r="V38" s="62">
        <f>U20</f>
        <v>177.75449999999998</v>
      </c>
      <c r="W38" s="62">
        <f>V20</f>
        <v>17.078624999999999</v>
      </c>
    </row>
    <row r="39" spans="1:25" x14ac:dyDescent="0.2">
      <c r="A39" s="5"/>
      <c r="B39" t="s">
        <v>58</v>
      </c>
      <c r="C39" s="34">
        <v>75</v>
      </c>
      <c r="D39" s="27">
        <v>4.4999999999999998E-2</v>
      </c>
      <c r="F39" s="34">
        <f>C39*D39</f>
        <v>3.375</v>
      </c>
      <c r="G39" s="34">
        <f>C39*(1+D39)</f>
        <v>78.375</v>
      </c>
      <c r="H39" s="1" t="s">
        <v>59</v>
      </c>
      <c r="I39" s="1"/>
      <c r="J39" s="34">
        <f>J24+C42</f>
        <v>1269.75</v>
      </c>
      <c r="K39" s="9"/>
      <c r="T39" s="86" t="s">
        <v>130</v>
      </c>
    </row>
    <row r="40" spans="1:25" x14ac:dyDescent="0.2">
      <c r="A40" s="5"/>
      <c r="B40" t="s">
        <v>60</v>
      </c>
      <c r="C40" s="34">
        <v>0</v>
      </c>
      <c r="D40" s="35"/>
      <c r="F40" s="34">
        <f>C40*D40</f>
        <v>0</v>
      </c>
      <c r="G40" s="34">
        <f>C40*(1+D40)</f>
        <v>0</v>
      </c>
      <c r="H40" s="1" t="s">
        <v>40</v>
      </c>
      <c r="J40" s="34">
        <f>J26</f>
        <v>118.97499999999999</v>
      </c>
      <c r="K40" s="9"/>
      <c r="T40" s="114" t="s">
        <v>127</v>
      </c>
      <c r="U40" s="114"/>
      <c r="V40" s="35">
        <f t="shared" ref="V40:X40" si="7">V35</f>
        <v>0.83210758562723264</v>
      </c>
      <c r="W40" s="35">
        <f t="shared" si="7"/>
        <v>0.16789241437276736</v>
      </c>
      <c r="X40" s="35" t="str">
        <f t="shared" si="7"/>
        <v/>
      </c>
    </row>
    <row r="41" spans="1:25" ht="13.5" thickBot="1" x14ac:dyDescent="0.25">
      <c r="A41" s="5"/>
      <c r="B41" t="s">
        <v>61</v>
      </c>
      <c r="C41" s="36">
        <v>5</v>
      </c>
      <c r="D41" s="27">
        <v>4.4999999999999998E-2</v>
      </c>
      <c r="F41" s="36">
        <f>C41*D41</f>
        <v>0.22499999999999998</v>
      </c>
      <c r="G41" s="36">
        <f>C41*(1+D41)</f>
        <v>5.2249999999999996</v>
      </c>
      <c r="H41" s="1" t="s">
        <v>42</v>
      </c>
      <c r="J41" s="34">
        <f>J27</f>
        <v>53.538750000000007</v>
      </c>
      <c r="K41" s="9"/>
      <c r="T41" s="61" t="s">
        <v>128</v>
      </c>
      <c r="U41" s="68">
        <f>X23</f>
        <v>80</v>
      </c>
      <c r="V41" s="68">
        <f>IF(V40="","",$U$41*V40)</f>
        <v>66.568606850178611</v>
      </c>
      <c r="W41" s="68">
        <f>IF(W40="","",$U$41*W40)</f>
        <v>13.431393149821389</v>
      </c>
      <c r="X41" s="68" t="str">
        <f>IF(X40="","",$U$41*X40)</f>
        <v/>
      </c>
      <c r="Y41" s="68"/>
    </row>
    <row r="42" spans="1:25" ht="13.5" thickTop="1" x14ac:dyDescent="0.2">
      <c r="A42" s="5"/>
      <c r="B42" s="37" t="s">
        <v>0</v>
      </c>
      <c r="C42" s="34">
        <f>SUM(C39:C41)</f>
        <v>80</v>
      </c>
      <c r="F42" s="34">
        <f>SUM(F39:F41)</f>
        <v>3.6</v>
      </c>
      <c r="G42" s="105">
        <f>SUM(G39:G41)</f>
        <v>83.6</v>
      </c>
      <c r="H42" s="105"/>
      <c r="I42" s="1" t="s">
        <v>101</v>
      </c>
      <c r="J42" s="34">
        <f>J28+F42</f>
        <v>198.43312499999999</v>
      </c>
      <c r="K42" s="9"/>
      <c r="T42" s="61" t="s">
        <v>141</v>
      </c>
      <c r="U42" s="68">
        <f>X25</f>
        <v>3.6</v>
      </c>
      <c r="V42" s="68">
        <f>IF(V40="","",$U$42*V40)</f>
        <v>2.9955873082580378</v>
      </c>
      <c r="W42" s="68">
        <f>IF(W40="","",$U$42*W40)</f>
        <v>0.60441269174196255</v>
      </c>
    </row>
    <row r="43" spans="1:25" x14ac:dyDescent="0.2">
      <c r="A43" s="7"/>
      <c r="B43" s="8" t="s">
        <v>102</v>
      </c>
      <c r="C43" s="8"/>
      <c r="D43" s="8"/>
      <c r="E43" s="8"/>
      <c r="F43" s="8"/>
      <c r="G43" s="8"/>
      <c r="H43" s="8"/>
      <c r="I43" s="8"/>
      <c r="J43" s="8"/>
      <c r="K43" s="11"/>
      <c r="T43" s="86" t="s">
        <v>131</v>
      </c>
    </row>
    <row r="44" spans="1:25" x14ac:dyDescent="0.2">
      <c r="B44" s="38" t="s">
        <v>106</v>
      </c>
      <c r="T44" s="61" t="s">
        <v>132</v>
      </c>
    </row>
    <row r="45" spans="1:25" x14ac:dyDescent="0.2">
      <c r="C45" s="16" t="s">
        <v>2</v>
      </c>
      <c r="D45" s="16" t="s">
        <v>105</v>
      </c>
      <c r="E45" s="16"/>
      <c r="F45" t="s">
        <v>103</v>
      </c>
      <c r="G45" s="16" t="s">
        <v>62</v>
      </c>
      <c r="H45" s="1" t="s">
        <v>104</v>
      </c>
      <c r="I45" s="16" t="s">
        <v>63</v>
      </c>
      <c r="J45" s="16" t="s">
        <v>64</v>
      </c>
      <c r="T45" s="61" t="s">
        <v>142</v>
      </c>
    </row>
    <row r="46" spans="1:25" x14ac:dyDescent="0.2">
      <c r="B46" s="1" t="str">
        <f>D18</f>
        <v>Souvenir</v>
      </c>
      <c r="C46" s="2">
        <f>C18</f>
        <v>200</v>
      </c>
      <c r="D46" s="34">
        <f>J18</f>
        <v>990</v>
      </c>
      <c r="F46" s="55">
        <f>D29</f>
        <v>846.45</v>
      </c>
      <c r="G46" s="34">
        <f>(G48/D48)*D46</f>
        <v>66.568606850178611</v>
      </c>
      <c r="H46" s="55">
        <f>(F46+G46)/C46</f>
        <v>4.5650930342508937</v>
      </c>
      <c r="I46" s="57">
        <v>3</v>
      </c>
      <c r="J46" s="58">
        <f>H46*(1+I46)</f>
        <v>18.260372137003575</v>
      </c>
      <c r="T46" s="54" t="s">
        <v>133</v>
      </c>
      <c r="U46" s="54"/>
      <c r="V46" s="54"/>
      <c r="W46" s="54"/>
      <c r="X46" s="54"/>
    </row>
    <row r="47" spans="1:25" ht="13.5" thickBot="1" x14ac:dyDescent="0.25">
      <c r="B47" s="1" t="str">
        <f>D19</f>
        <v>Agua  y refrescos</v>
      </c>
      <c r="C47" s="39">
        <f>C19</f>
        <v>500</v>
      </c>
      <c r="D47" s="36">
        <f>J19</f>
        <v>199.75</v>
      </c>
      <c r="E47" s="45"/>
      <c r="F47" s="56">
        <f>F29</f>
        <v>170.78625</v>
      </c>
      <c r="G47" s="36">
        <f>(G48/D48)*D47</f>
        <v>13.431393149821391</v>
      </c>
      <c r="H47" s="55">
        <f>(F47+G47)/C47</f>
        <v>0.36843528629964278</v>
      </c>
      <c r="I47" s="57">
        <v>3</v>
      </c>
      <c r="J47" s="58">
        <f>H47*(1+I47)</f>
        <v>1.4737411451985711</v>
      </c>
      <c r="T47" s="113" t="s">
        <v>137</v>
      </c>
      <c r="U47" s="113"/>
      <c r="V47" s="62">
        <f>IF(V33="","",V37+V41+V44)</f>
        <v>913.01860685017857</v>
      </c>
      <c r="W47" s="62">
        <f t="shared" ref="W47:X47" si="8">IF(W33="","",W37+W41+W44)</f>
        <v>184.21764314982136</v>
      </c>
      <c r="X47" s="62" t="str">
        <f t="shared" si="8"/>
        <v/>
      </c>
      <c r="Y47" s="68">
        <f>SUM(V47:X47)</f>
        <v>1097.2362499999999</v>
      </c>
    </row>
    <row r="48" spans="1:25" ht="13.5" thickTop="1" x14ac:dyDescent="0.2">
      <c r="B48" s="40" t="s">
        <v>0</v>
      </c>
      <c r="C48" s="2">
        <f>SUM(C46:C47)</f>
        <v>700</v>
      </c>
      <c r="D48" s="2">
        <f>SUM(D46:D47)</f>
        <v>1189.75</v>
      </c>
      <c r="F48" s="55">
        <f>SUM(F46:F47)</f>
        <v>1017.23625</v>
      </c>
      <c r="G48" s="34">
        <f>C42</f>
        <v>80</v>
      </c>
      <c r="H48" s="34"/>
      <c r="I48" s="41" t="s">
        <v>1</v>
      </c>
      <c r="T48" s="113"/>
      <c r="U48" s="113"/>
      <c r="V48" s="46">
        <f>IF(V47="","",V47/V33)</f>
        <v>4.5650930342508929</v>
      </c>
      <c r="W48" s="46">
        <f t="shared" ref="W48:X48" si="9">IF(W47="","",W47/W33)</f>
        <v>0.36843528629964273</v>
      </c>
      <c r="X48" s="46" t="str">
        <f t="shared" si="9"/>
        <v/>
      </c>
    </row>
    <row r="49" spans="2:25" x14ac:dyDescent="0.2">
      <c r="D49" t="s">
        <v>4</v>
      </c>
      <c r="G49" s="104">
        <f>F48+G48</f>
        <v>1097.2362499999999</v>
      </c>
      <c r="H49" s="104"/>
      <c r="T49" s="113" t="s">
        <v>138</v>
      </c>
      <c r="U49" s="88">
        <v>3</v>
      </c>
      <c r="V49" s="46">
        <f>IF(V48="","",V48*$U$49)</f>
        <v>13.695279102752679</v>
      </c>
      <c r="W49" s="46">
        <f>IF(W48="","",W48*$U$49)</f>
        <v>1.1053058588989282</v>
      </c>
      <c r="X49" s="46" t="str">
        <f>IF(X47="","",(X48*$U$49)+X48)</f>
        <v/>
      </c>
    </row>
    <row r="50" spans="2:25" ht="12.75" customHeight="1" x14ac:dyDescent="0.2">
      <c r="B50" s="38" t="s">
        <v>107</v>
      </c>
      <c r="J50" s="54"/>
      <c r="M50" s="41"/>
      <c r="T50" s="113"/>
      <c r="U50" s="87" t="s">
        <v>139</v>
      </c>
      <c r="V50" s="46">
        <f>IF(V48="","",V48+V49)</f>
        <v>18.260372137003571</v>
      </c>
      <c r="W50" s="46">
        <f t="shared" ref="W50:X50" si="10">IF(W48="","",W48+W49)</f>
        <v>1.4737411451985709</v>
      </c>
      <c r="X50" s="46" t="str">
        <f t="shared" si="10"/>
        <v/>
      </c>
    </row>
    <row r="51" spans="2:25" x14ac:dyDescent="0.2">
      <c r="C51" s="16" t="s">
        <v>2</v>
      </c>
      <c r="D51" s="16" t="s">
        <v>105</v>
      </c>
      <c r="E51" s="16"/>
      <c r="F51" t="str">
        <f>F45</f>
        <v>Impor-Dtos</v>
      </c>
      <c r="G51" s="16" t="str">
        <f t="shared" ref="G51:J51" si="11">G45</f>
        <v>Suplidos</v>
      </c>
      <c r="H51" s="1" t="str">
        <f t="shared" si="11"/>
        <v>Cost.Unita.</v>
      </c>
      <c r="I51" s="16" t="str">
        <f t="shared" si="11"/>
        <v>Margen Comer.</v>
      </c>
      <c r="J51" s="16" t="str">
        <f t="shared" si="11"/>
        <v>PVPunitario</v>
      </c>
      <c r="L51" s="41"/>
      <c r="M51" s="16"/>
      <c r="T51" s="54" t="s">
        <v>134</v>
      </c>
    </row>
    <row r="52" spans="2:25" ht="12.75" customHeight="1" x14ac:dyDescent="0.2">
      <c r="B52" s="1" t="str">
        <f>B46</f>
        <v>Souvenir</v>
      </c>
      <c r="C52" s="2">
        <f>C46</f>
        <v>200</v>
      </c>
      <c r="D52" s="34">
        <f>J18</f>
        <v>990</v>
      </c>
      <c r="F52" s="55">
        <f>D29+D30</f>
        <v>1024.2045000000001</v>
      </c>
      <c r="G52" s="34">
        <f>(F52/F54)*G42</f>
        <v>70.642405431619778</v>
      </c>
      <c r="H52" s="55">
        <f>(F52+G52)/C52</f>
        <v>5.4742345271580994</v>
      </c>
      <c r="I52" s="60">
        <f>I46</f>
        <v>3</v>
      </c>
      <c r="J52" s="58">
        <f>H52*(1+I52)</f>
        <v>21.896938108632398</v>
      </c>
      <c r="M52" s="34"/>
      <c r="T52" s="113" t="s">
        <v>135</v>
      </c>
      <c r="U52" s="113"/>
      <c r="V52" s="68">
        <f>IF(V33="","",V37+V38+V41+V42+V44+V45)</f>
        <v>1093.7686941584366</v>
      </c>
      <c r="W52" s="68">
        <f>IF(W33="","",W37+W38+W41+W42+W44+W45)</f>
        <v>201.90068084156331</v>
      </c>
      <c r="X52" s="68" t="str">
        <f>IF(X33="","",X37+X38+X41+X42+X44+X45)</f>
        <v/>
      </c>
      <c r="Y52" s="68">
        <f>SUM(V52:X52)</f>
        <v>1295.6693749999999</v>
      </c>
    </row>
    <row r="53" spans="2:25" ht="13.5" thickBot="1" x14ac:dyDescent="0.25">
      <c r="B53" s="1" t="str">
        <f>B47</f>
        <v>Agua  y refrescos</v>
      </c>
      <c r="C53" s="39">
        <f>C47</f>
        <v>500</v>
      </c>
      <c r="D53" s="36">
        <f>J19</f>
        <v>199.75</v>
      </c>
      <c r="E53" s="45"/>
      <c r="F53" s="56">
        <f>F29+F30</f>
        <v>187.86487499999998</v>
      </c>
      <c r="G53" s="36">
        <f>(F53/F54)*G42</f>
        <v>12.957594568380211</v>
      </c>
      <c r="H53" s="55">
        <f>(F53+G53)/C53</f>
        <v>0.40164493913676041</v>
      </c>
      <c r="I53" s="60">
        <f>I47</f>
        <v>3</v>
      </c>
      <c r="J53" s="58">
        <f>H53*(1+I53)</f>
        <v>1.6065797565470417</v>
      </c>
      <c r="T53" s="113"/>
      <c r="U53" s="113"/>
      <c r="V53" s="46">
        <f>IF(V52="","",V52/V33)</f>
        <v>5.4688434707921827</v>
      </c>
      <c r="W53" s="46">
        <f>IF(W52="","",W52/W33)</f>
        <v>0.40380136168312664</v>
      </c>
      <c r="X53" s="46" t="str">
        <f>IF(X52="","",X52/X33)</f>
        <v/>
      </c>
    </row>
    <row r="54" spans="2:25" ht="13.5" thickTop="1" x14ac:dyDescent="0.2">
      <c r="B54" s="40" t="s">
        <v>0</v>
      </c>
      <c r="C54" s="2">
        <f>SUM(C52:C53)</f>
        <v>700</v>
      </c>
      <c r="D54" s="55">
        <f>SUM(D52:D53)</f>
        <v>1189.75</v>
      </c>
      <c r="F54" s="55">
        <f>SUM(F52:F53)</f>
        <v>1212.069375</v>
      </c>
      <c r="G54" s="34">
        <f>SUM(G52:G53)</f>
        <v>83.6</v>
      </c>
      <c r="T54" s="113" t="s">
        <v>138</v>
      </c>
      <c r="U54" s="88">
        <v>3</v>
      </c>
      <c r="V54" s="46">
        <f>IF(V52="","",V53*$U$54)</f>
        <v>16.406530412376547</v>
      </c>
      <c r="W54" s="46">
        <f t="shared" ref="W54:X54" si="12">IF(W52="","",W53*$U$54)</f>
        <v>1.2114040850493799</v>
      </c>
      <c r="X54" s="46" t="str">
        <f t="shared" si="12"/>
        <v/>
      </c>
    </row>
    <row r="55" spans="2:25" x14ac:dyDescent="0.2">
      <c r="D55" t="s">
        <v>4</v>
      </c>
      <c r="G55" s="104">
        <f>F54+G54</f>
        <v>1295.6693749999999</v>
      </c>
      <c r="H55" s="104"/>
      <c r="T55" s="113"/>
      <c r="U55" s="87" t="s">
        <v>139</v>
      </c>
      <c r="V55" s="46">
        <f>IF(V53="","",V53+V54)</f>
        <v>21.875373883168731</v>
      </c>
      <c r="W55" s="46">
        <f t="shared" ref="W55" si="13">IF(W53="","",W53+W54)</f>
        <v>1.6152054467325065</v>
      </c>
      <c r="X55" s="46" t="str">
        <f t="shared" ref="X55" si="14">IF(X53="","",X53+X54)</f>
        <v/>
      </c>
    </row>
    <row r="56" spans="2:25" x14ac:dyDescent="0.2">
      <c r="G56" s="104"/>
      <c r="H56" s="104"/>
    </row>
    <row r="57" spans="2:25" x14ac:dyDescent="0.2">
      <c r="G57" s="41"/>
    </row>
  </sheetData>
  <mergeCells count="42">
    <mergeCell ref="T52:U53"/>
    <mergeCell ref="T49:T50"/>
    <mergeCell ref="T54:T55"/>
    <mergeCell ref="U31:U32"/>
    <mergeCell ref="T40:U40"/>
    <mergeCell ref="T47:U48"/>
    <mergeCell ref="X31:X32"/>
    <mergeCell ref="D18:F18"/>
    <mergeCell ref="M15:Q15"/>
    <mergeCell ref="A1:K1"/>
    <mergeCell ref="L1:R1"/>
    <mergeCell ref="M7:Q7"/>
    <mergeCell ref="L8:R8"/>
    <mergeCell ref="L9:R9"/>
    <mergeCell ref="D19:F19"/>
    <mergeCell ref="M19:Q19"/>
    <mergeCell ref="L20:R20"/>
    <mergeCell ref="L21:R21"/>
    <mergeCell ref="W31:W32"/>
    <mergeCell ref="V31:V32"/>
    <mergeCell ref="B25:C26"/>
    <mergeCell ref="D25:F25"/>
    <mergeCell ref="M27:Q27"/>
    <mergeCell ref="L28:R28"/>
    <mergeCell ref="M30:Q30"/>
    <mergeCell ref="L31:R31"/>
    <mergeCell ref="G56:H56"/>
    <mergeCell ref="G42:H42"/>
    <mergeCell ref="G49:H49"/>
    <mergeCell ref="G55:H55"/>
    <mergeCell ref="B32:D32"/>
    <mergeCell ref="F32:J32"/>
    <mergeCell ref="B34:D35"/>
    <mergeCell ref="F35:J35"/>
    <mergeCell ref="D38:F38"/>
    <mergeCell ref="H38:J38"/>
    <mergeCell ref="U4:U5"/>
    <mergeCell ref="V4:V5"/>
    <mergeCell ref="W4:W5"/>
    <mergeCell ref="U27:U28"/>
    <mergeCell ref="V27:V28"/>
    <mergeCell ref="W27:W28"/>
  </mergeCells>
  <pageMargins left="0.70866141732283472" right="0.70866141732283472" top="0.35433070866141736" bottom="0.35433070866141736" header="0.31496062992125984" footer="0.31496062992125984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F8496E32-2E5F-4F06-B0C6-E2D5A5E9E236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19_20 Tienda 24h&amp;365</vt:lpstr>
    </vt:vector>
  </TitlesOfParts>
  <Company>Univ. La Laguna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 Economia Financiera</dc:creator>
  <cp:lastModifiedBy>José Ignacio González Gómez</cp:lastModifiedBy>
  <cp:lastPrinted>2017-09-27T08:56:30Z</cp:lastPrinted>
  <dcterms:created xsi:type="dcterms:W3CDTF">1996-03-08T07:19:53Z</dcterms:created>
  <dcterms:modified xsi:type="dcterms:W3CDTF">2024-09-22T20:58:43Z</dcterms:modified>
</cp:coreProperties>
</file>